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62f30db6e6cefe/RSG-SHOP/Sale/Pastorelli/"/>
    </mc:Choice>
  </mc:AlternateContent>
  <xr:revisionPtr revIDLastSave="0" documentId="8_{04950F9F-6D10-4367-89CB-6F052FAEA433}" xr6:coauthVersionLast="47" xr6:coauthVersionMax="47" xr10:uidLastSave="{00000000-0000-0000-0000-000000000000}"/>
  <workbookProtection workbookAlgorithmName="SHA-512" workbookHashValue="ReF5c2q8bwn8+luVg17w7SNAvvp9LO2eO4OpgBwKHAtqN+CnxIgaQb60f0lNjkAhNpowiQVMn6REih73iHpvkw==" workbookSaltValue="umVjIC+QsjXfT8uIBwIwSw==" workbookSpinCount="100000" lockStructure="1"/>
  <bookViews>
    <workbookView xWindow="-120" yWindow="-120" windowWidth="38640" windowHeight="21240" xr2:uid="{89AAD063-2C3D-45E0-9E12-137E6A1B7A9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O25" i="1"/>
  <c r="J14" i="1"/>
  <c r="H41" i="1"/>
  <c r="H40" i="1"/>
  <c r="J40" i="1"/>
  <c r="F40" i="1"/>
  <c r="J32" i="1"/>
  <c r="G32" i="1"/>
  <c r="F24" i="1"/>
  <c r="H24" i="1"/>
  <c r="J16" i="1"/>
  <c r="H16" i="1"/>
  <c r="F16" i="1"/>
  <c r="D41" i="1"/>
  <c r="D32" i="1"/>
  <c r="D24" i="1"/>
  <c r="D16" i="1"/>
  <c r="O7" i="1"/>
  <c r="O6" i="1"/>
  <c r="K44" i="1"/>
  <c r="K35" i="1"/>
  <c r="K27" i="1"/>
  <c r="K19" i="1"/>
  <c r="O13" i="1"/>
  <c r="O4" i="1"/>
  <c r="N4" i="1"/>
  <c r="O5" i="1"/>
  <c r="O8" i="1"/>
  <c r="B39" i="1"/>
  <c r="B34" i="1"/>
  <c r="B31" i="1"/>
  <c r="B24" i="1"/>
  <c r="B23" i="1"/>
  <c r="B15" i="1"/>
  <c r="T30" i="1"/>
  <c r="S30" i="1"/>
  <c r="R30" i="1"/>
  <c r="T29" i="1"/>
  <c r="R26" i="1"/>
  <c r="R25" i="1"/>
  <c r="S29" i="1"/>
  <c r="R29" i="1"/>
  <c r="D44" i="1" l="1"/>
  <c r="D43" i="1"/>
  <c r="D42" i="1"/>
  <c r="C23" i="1" l="1"/>
  <c r="C39" i="1"/>
  <c r="C37" i="1"/>
  <c r="D27" i="1"/>
  <c r="D26" i="1"/>
  <c r="N21" i="1" s="1"/>
  <c r="R10" i="1"/>
  <c r="C29" i="1" l="1"/>
  <c r="C35" i="1"/>
  <c r="C40" i="1"/>
  <c r="C22" i="1"/>
  <c r="N28" i="1"/>
  <c r="N35" i="1"/>
  <c r="N42" i="1"/>
  <c r="K47" i="1"/>
  <c r="G12" i="1" s="1"/>
  <c r="C43" i="1"/>
  <c r="C26" i="1"/>
  <c r="C42" i="1"/>
  <c r="C27" i="1"/>
  <c r="C19" i="1"/>
  <c r="C20" i="1"/>
  <c r="C47" i="1" l="1"/>
  <c r="D12" i="1" s="1"/>
  <c r="G47" i="1" l="1"/>
  <c r="O24" i="1" s="1"/>
  <c r="O19" i="1" l="1"/>
  <c r="O22" i="1"/>
  <c r="O18" i="1"/>
  <c r="O17" i="1"/>
  <c r="O21" i="1"/>
  <c r="O16" i="1"/>
  <c r="O23" i="1"/>
  <c r="O20" i="1"/>
  <c r="O15" i="1"/>
  <c r="R24" i="1"/>
  <c r="T19" i="1"/>
  <c r="T20" i="1"/>
  <c r="R21" i="1"/>
  <c r="O10" i="1"/>
  <c r="T23" i="1"/>
  <c r="R22" i="1"/>
  <c r="T21" i="1"/>
  <c r="S19" i="1"/>
  <c r="S21" i="1"/>
  <c r="T22" i="1"/>
  <c r="R17" i="1"/>
  <c r="S23" i="1"/>
  <c r="R16" i="1"/>
  <c r="R19" i="1"/>
  <c r="R15" i="1"/>
  <c r="S20" i="1"/>
  <c r="R18" i="1"/>
  <c r="R20" i="1"/>
  <c r="R23" i="1"/>
  <c r="S22" i="1"/>
</calcChain>
</file>

<file path=xl/sharedStrings.xml><?xml version="1.0" encoding="utf-8"?>
<sst xmlns="http://schemas.openxmlformats.org/spreadsheetml/2006/main" count="12" uniqueCount="12">
  <si>
    <t>JUNIOR</t>
  </si>
  <si>
    <t>SENIOR</t>
  </si>
  <si>
    <t xml:space="preserve">COD. </t>
  </si>
  <si>
    <t>PASTORELLI</t>
  </si>
  <si>
    <t>COD.</t>
  </si>
  <si>
    <t>FIG</t>
  </si>
  <si>
    <t>d216</t>
  </si>
  <si>
    <t>d224</t>
  </si>
  <si>
    <t>d234</t>
  </si>
  <si>
    <t>d244</t>
  </si>
  <si>
    <t>1,39-1,60 mt</t>
  </si>
  <si>
    <t>1,00- 1,38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</si>
</sst>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66CC"/>
      <name val="Calibri"/>
      <family val="2"/>
      <scheme val="minor"/>
    </font>
    <font>
      <b/>
      <sz val="14"/>
      <color rgb="FFFF66CC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Segoe U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2" xfId="0" applyBorder="1"/>
    <xf numFmtId="0" fontId="2" fillId="0" borderId="0" xfId="0" applyFont="1"/>
    <xf numFmtId="0" fontId="0" fillId="0" borderId="0" xfId="0" applyBorder="1"/>
    <xf numFmtId="0" fontId="0" fillId="0" borderId="0" xfId="0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0" fontId="9" fillId="0" borderId="0" xfId="0" applyFont="1"/>
    <xf numFmtId="0" fontId="6" fillId="0" borderId="2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2" fillId="0" borderId="0" xfId="0" quotePrefix="1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15" xfId="0" applyFont="1" applyBorder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14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/>
      <protection hidden="1"/>
    </xf>
    <xf numFmtId="0" fontId="0" fillId="0" borderId="2" xfId="0" applyBorder="1" applyAlignment="1"/>
    <xf numFmtId="0" fontId="12" fillId="0" borderId="7" xfId="0" applyFont="1" applyBorder="1" applyAlignment="1" applyProtection="1">
      <alignment horizontal="left"/>
      <protection hidden="1"/>
    </xf>
    <xf numFmtId="0" fontId="12" fillId="0" borderId="13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 applyProtection="1">
      <alignment horizontal="left"/>
      <protection hidden="1"/>
    </xf>
    <xf numFmtId="0" fontId="12" fillId="0" borderId="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11" xfId="0" applyFont="1" applyBorder="1" applyAlignment="1" applyProtection="1">
      <alignment horizontal="left"/>
      <protection hidden="1"/>
    </xf>
    <xf numFmtId="0" fontId="12" fillId="0" borderId="5" xfId="0" applyFont="1" applyBorder="1" applyAlignment="1">
      <alignment horizontal="left"/>
    </xf>
    <xf numFmtId="0" fontId="12" fillId="0" borderId="12" xfId="0" applyFont="1" applyBorder="1" applyAlignment="1">
      <alignment horizontal="left"/>
    </xf>
  </cellXfs>
  <cellStyles count="2">
    <cellStyle name="Collegamento ipertestuale 2" xfId="1" xr:uid="{90D65888-051F-416D-BBC0-F840DEAFA695}"/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D$216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D$244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firstButton="1" fmlaLink="$A$300" lockText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D$224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fmlaLink="$D$234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9525</xdr:rowOff>
        </xdr:from>
        <xdr:to>
          <xdr:col>12</xdr:col>
          <xdr:colOff>0</xdr:colOff>
          <xdr:row>20</xdr:row>
          <xdr:rowOff>57150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13</xdr:row>
          <xdr:rowOff>171450</xdr:rowOff>
        </xdr:from>
        <xdr:to>
          <xdr:col>5</xdr:col>
          <xdr:colOff>428625</xdr:colOff>
          <xdr:row>15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13</xdr:row>
          <xdr:rowOff>171450</xdr:rowOff>
        </xdr:from>
        <xdr:to>
          <xdr:col>7</xdr:col>
          <xdr:colOff>447675</xdr:colOff>
          <xdr:row>15</xdr:row>
          <xdr:rowOff>19050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13</xdr:row>
          <xdr:rowOff>171450</xdr:rowOff>
        </xdr:from>
        <xdr:to>
          <xdr:col>9</xdr:col>
          <xdr:colOff>428625</xdr:colOff>
          <xdr:row>15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19050</xdr:rowOff>
        </xdr:from>
        <xdr:to>
          <xdr:col>11</xdr:col>
          <xdr:colOff>600075</xdr:colOff>
          <xdr:row>28</xdr:row>
          <xdr:rowOff>9525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171450</xdr:rowOff>
        </xdr:from>
        <xdr:to>
          <xdr:col>6</xdr:col>
          <xdr:colOff>209550</xdr:colOff>
          <xdr:row>23</xdr:row>
          <xdr:rowOff>28575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171450</xdr:rowOff>
        </xdr:from>
        <xdr:to>
          <xdr:col>8</xdr:col>
          <xdr:colOff>19050</xdr:colOff>
          <xdr:row>23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21</xdr:row>
          <xdr:rowOff>133350</xdr:rowOff>
        </xdr:from>
        <xdr:to>
          <xdr:col>10</xdr:col>
          <xdr:colOff>28575</xdr:colOff>
          <xdr:row>23</xdr:row>
          <xdr:rowOff>9525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21</xdr:row>
          <xdr:rowOff>171450</xdr:rowOff>
        </xdr:from>
        <xdr:to>
          <xdr:col>11</xdr:col>
          <xdr:colOff>561975</xdr:colOff>
          <xdr:row>22</xdr:row>
          <xdr:rowOff>180975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29</xdr:row>
          <xdr:rowOff>19050</xdr:rowOff>
        </xdr:from>
        <xdr:to>
          <xdr:col>11</xdr:col>
          <xdr:colOff>590550</xdr:colOff>
          <xdr:row>36</xdr:row>
          <xdr:rowOff>28575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171450</xdr:rowOff>
        </xdr:from>
        <xdr:to>
          <xdr:col>7</xdr:col>
          <xdr:colOff>361950</xdr:colOff>
          <xdr:row>31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29</xdr:row>
          <xdr:rowOff>171450</xdr:rowOff>
        </xdr:from>
        <xdr:to>
          <xdr:col>11</xdr:col>
          <xdr:colOff>171450</xdr:colOff>
          <xdr:row>31</xdr:row>
          <xdr:rowOff>9525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171450</xdr:rowOff>
        </xdr:from>
        <xdr:to>
          <xdr:col>10</xdr:col>
          <xdr:colOff>457200</xdr:colOff>
          <xdr:row>18</xdr:row>
          <xdr:rowOff>19050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24</xdr:row>
          <xdr:rowOff>180975</xdr:rowOff>
        </xdr:from>
        <xdr:to>
          <xdr:col>11</xdr:col>
          <xdr:colOff>19050</xdr:colOff>
          <xdr:row>26</xdr:row>
          <xdr:rowOff>9525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37</xdr:row>
          <xdr:rowOff>28575</xdr:rowOff>
        </xdr:from>
        <xdr:to>
          <xdr:col>12</xdr:col>
          <xdr:colOff>0</xdr:colOff>
          <xdr:row>45</xdr:row>
          <xdr:rowOff>9525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37</xdr:row>
          <xdr:rowOff>152400</xdr:rowOff>
        </xdr:from>
        <xdr:to>
          <xdr:col>6</xdr:col>
          <xdr:colOff>19050</xdr:colOff>
          <xdr:row>39</xdr:row>
          <xdr:rowOff>19050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37</xdr:row>
          <xdr:rowOff>171450</xdr:rowOff>
        </xdr:from>
        <xdr:to>
          <xdr:col>8</xdr:col>
          <xdr:colOff>104775</xdr:colOff>
          <xdr:row>39</xdr:row>
          <xdr:rowOff>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37</xdr:row>
          <xdr:rowOff>161925</xdr:rowOff>
        </xdr:from>
        <xdr:to>
          <xdr:col>10</xdr:col>
          <xdr:colOff>266700</xdr:colOff>
          <xdr:row>38</xdr:row>
          <xdr:rowOff>171450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161925</xdr:rowOff>
        </xdr:from>
        <xdr:to>
          <xdr:col>11</xdr:col>
          <xdr:colOff>123825</xdr:colOff>
          <xdr:row>43</xdr:row>
          <xdr:rowOff>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350089</xdr:colOff>
      <xdr:row>3</xdr:row>
      <xdr:rowOff>29392</xdr:rowOff>
    </xdr:from>
    <xdr:to>
      <xdr:col>1</xdr:col>
      <xdr:colOff>68989</xdr:colOff>
      <xdr:row>4</xdr:row>
      <xdr:rowOff>48018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089" y="600892"/>
          <a:ext cx="328500" cy="209126"/>
        </a:xfrm>
        <a:prstGeom prst="rect">
          <a:avLst/>
        </a:prstGeom>
      </xdr:spPr>
    </xdr:pic>
    <xdr:clientData/>
  </xdr:twoCellAnchor>
  <xdr:twoCellAnchor editAs="oneCell">
    <xdr:from>
      <xdr:col>0</xdr:col>
      <xdr:colOff>341460</xdr:colOff>
      <xdr:row>4</xdr:row>
      <xdr:rowOff>67476</xdr:rowOff>
    </xdr:from>
    <xdr:to>
      <xdr:col>1</xdr:col>
      <xdr:colOff>82122</xdr:colOff>
      <xdr:row>5</xdr:row>
      <xdr:rowOff>118911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1460" y="829476"/>
          <a:ext cx="350262" cy="241935"/>
        </a:xfrm>
        <a:prstGeom prst="rect">
          <a:avLst/>
        </a:prstGeom>
      </xdr:spPr>
    </xdr:pic>
    <xdr:clientData/>
  </xdr:twoCellAnchor>
  <xdr:twoCellAnchor editAs="oneCell">
    <xdr:from>
      <xdr:col>0</xdr:col>
      <xdr:colOff>348005</xdr:colOff>
      <xdr:row>1</xdr:row>
      <xdr:rowOff>113858</xdr:rowOff>
    </xdr:from>
    <xdr:to>
      <xdr:col>1</xdr:col>
      <xdr:colOff>78922</xdr:colOff>
      <xdr:row>2</xdr:row>
      <xdr:rowOff>158659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8005" y="304358"/>
          <a:ext cx="340517" cy="2353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3</xdr:col>
          <xdr:colOff>590550</xdr:colOff>
          <xdr:row>10</xdr:row>
          <xdr:rowOff>95250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Language.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344164</xdr:colOff>
      <xdr:row>5</xdr:row>
      <xdr:rowOff>164357</xdr:rowOff>
    </xdr:from>
    <xdr:to>
      <xdr:col>1</xdr:col>
      <xdr:colOff>77989</xdr:colOff>
      <xdr:row>7</xdr:row>
      <xdr:rowOff>22223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4164" y="1116857"/>
          <a:ext cx="343425" cy="238866"/>
        </a:xfrm>
        <a:prstGeom prst="rect">
          <a:avLst/>
        </a:prstGeom>
      </xdr:spPr>
    </xdr:pic>
    <xdr:clientData/>
  </xdr:twoCellAnchor>
  <xdr:twoCellAnchor editAs="oneCell">
    <xdr:from>
      <xdr:col>0</xdr:col>
      <xdr:colOff>340677</xdr:colOff>
      <xdr:row>7</xdr:row>
      <xdr:rowOff>80646</xdr:rowOff>
    </xdr:from>
    <xdr:to>
      <xdr:col>1</xdr:col>
      <xdr:colOff>86676</xdr:colOff>
      <xdr:row>8</xdr:row>
      <xdr:rowOff>139429</xdr:rowOff>
    </xdr:to>
    <xdr:pic>
      <xdr:nvPicPr>
        <xdr:cNvPr id="65" name="Immagine 64" descr="Foto 1 di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40677" y="1414146"/>
          <a:ext cx="355599" cy="24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32</xdr:row>
          <xdr:rowOff>171450</xdr:rowOff>
        </xdr:from>
        <xdr:to>
          <xdr:col>11</xdr:col>
          <xdr:colOff>457200</xdr:colOff>
          <xdr:row>34</xdr:row>
          <xdr:rowOff>19050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333375</xdr:colOff>
      <xdr:row>9</xdr:row>
      <xdr:rowOff>3334</xdr:rowOff>
    </xdr:from>
    <xdr:to>
      <xdr:col>1</xdr:col>
      <xdr:colOff>85724</xdr:colOff>
      <xdr:row>10</xdr:row>
      <xdr:rowOff>57149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717834"/>
          <a:ext cx="361949" cy="2443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</xdr:row>
          <xdr:rowOff>104775</xdr:rowOff>
        </xdr:from>
        <xdr:to>
          <xdr:col>2</xdr:col>
          <xdr:colOff>409575</xdr:colOff>
          <xdr:row>2</xdr:row>
          <xdr:rowOff>152400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Italiano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9525</xdr:rowOff>
        </xdr:from>
        <xdr:to>
          <xdr:col>2</xdr:col>
          <xdr:colOff>409575</xdr:colOff>
          <xdr:row>4</xdr:row>
          <xdr:rowOff>38100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66675</xdr:rowOff>
        </xdr:from>
        <xdr:to>
          <xdr:col>2</xdr:col>
          <xdr:colOff>409575</xdr:colOff>
          <xdr:row>5</xdr:row>
          <xdr:rowOff>114300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русский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161925</xdr:rowOff>
        </xdr:from>
        <xdr:to>
          <xdr:col>2</xdr:col>
          <xdr:colOff>409575</xdr:colOff>
          <xdr:row>7</xdr:row>
          <xdr:rowOff>9525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Français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</xdr:row>
          <xdr:rowOff>85725</xdr:rowOff>
        </xdr:from>
        <xdr:to>
          <xdr:col>3</xdr:col>
          <xdr:colOff>123825</xdr:colOff>
          <xdr:row>8</xdr:row>
          <xdr:rowOff>123825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Español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0</xdr:rowOff>
        </xdr:from>
        <xdr:to>
          <xdr:col>3</xdr:col>
          <xdr:colOff>123825</xdr:colOff>
          <xdr:row>10</xdr:row>
          <xdr:rowOff>38100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Deutsch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B289-B747-4ED9-8BAB-1A70563817AD}">
  <dimension ref="A2:U300"/>
  <sheetViews>
    <sheetView tabSelected="1" workbookViewId="0">
      <selection activeCell="N4" sqref="N4"/>
    </sheetView>
  </sheetViews>
  <sheetFormatPr defaultRowHeight="15" x14ac:dyDescent="0.25"/>
  <cols>
    <col min="4" max="4" width="10.28515625" customWidth="1"/>
    <col min="15" max="15" width="27.28515625" customWidth="1"/>
    <col min="17" max="17" width="7.140625" customWidth="1"/>
    <col min="18" max="18" width="12.140625" style="24" customWidth="1"/>
    <col min="19" max="19" width="9.140625" style="24"/>
    <col min="20" max="20" width="12" style="24" customWidth="1"/>
  </cols>
  <sheetData>
    <row r="2" spans="1:21" x14ac:dyDescent="0.25">
      <c r="O2" s="6"/>
    </row>
    <row r="4" spans="1:21" x14ac:dyDescent="0.25">
      <c r="N4" s="21" t="str">
        <f>IF(A300=1,"ITA",IF(A300=2,"EN",IF(A300=3,"RU",IF(A300=4,"FR",IF(A300=6,"DE","ES")))))</f>
        <v>DE</v>
      </c>
      <c r="O4" s="31" t="str">
        <f>IF(A300=1,"ATTENZIONE:",IF(A300=2,"ATTENTION: ",IF(A300=3,"ВНИМАНИЕ:",IF(A300=4,"Attention !!!",IF(A300=6,"ACHTUNG !!!","ADVERTENCIA !!!")))))</f>
        <v>ACHTUNG !!!</v>
      </c>
      <c r="P4" s="32"/>
      <c r="Q4" s="32"/>
      <c r="R4" s="32"/>
      <c r="S4" s="32"/>
      <c r="T4" s="32"/>
      <c r="U4" s="33"/>
    </row>
    <row r="5" spans="1:21" x14ac:dyDescent="0.25">
      <c r="N5" s="10"/>
      <c r="O5" s="34" t="str">
        <f>IF(A300=1,"",IF(A300=2,"",IF(A300=3,"",IF(A300=4,"",""))))</f>
        <v/>
      </c>
      <c r="P5" s="35"/>
      <c r="Q5" s="35"/>
      <c r="R5" s="35"/>
      <c r="S5" s="35"/>
      <c r="T5" s="35"/>
      <c r="U5" s="36"/>
    </row>
    <row r="6" spans="1:21" x14ac:dyDescent="0.25">
      <c r="N6" s="10"/>
      <c r="O6" s="37" t="str">
        <f>IF(A300=1,"IL CONSIGLIO DI MODELLO NON IMPLICA NESSUNA RESPONSABILITA. ",IF(A300=2,"THE MODEL SUGGESTION IMPLIES NO COMPANY LIABILITY.",IF(A300=3,"ИНФОРМАЦИЯ НЕСЕТ ИСКЛЮЧИТЕЛЬНО РЕКОМЕНДАТЕЛЬНЫЙ ХАРАКТЕР.",IF(A300=4,"LE CONSEIL DES MODÈLES N'IMPLIQUE AUCUNE RESPONSABILITÉ DE LA SOCIÉTÉ.",IF(A300=6,"DIE INFORMATIONEN DIENEN LEDIGLICH DER ORIENTIERUNG.","EL CONSEJO MODELO NO IMPLICA NINGUNA RESPONSABILIDAD DE LA COMPAÑÍA.")))))</f>
        <v>DIE INFORMATIONEN DIENEN LEDIGLICH DER ORIENTIERUNG.</v>
      </c>
      <c r="P6" s="38"/>
      <c r="Q6" s="38"/>
      <c r="R6" s="38"/>
      <c r="S6" s="38"/>
      <c r="T6" s="38"/>
      <c r="U6" s="39"/>
    </row>
    <row r="7" spans="1:21" x14ac:dyDescent="0.25">
      <c r="N7" s="10"/>
      <c r="O7" s="37" t="str">
        <f>IF(A300=1,"SI DOVREBBE CONSULTARE UN ALLENATORE QUANDO SI SCEGLIE UN CERCHIO.",IF(A300=2,"WHEN CHOOSING A HOOP IT IS NECESSARY TO CONSULT WITH A TRAINER",IF(A300=3,"СОВЕТОВАТЬСЯ ПРИ ВЫБОРЕ ОБРУЧА НЕОБХОДИМО С ТРЕНЕРОМ.",IF(A300=4,"CONSULTER UN ENTRAÎNEUR LORSQU'IL S'AGIT DE CHOISIR UN CER D'ENTRAÎNEMENT",IF(A300=6,"BEI DER WAHL DES REIFENS SOLLTEN SIE SICH MIT IHREM TRAINER BERATEN.","CONSULTE A UN ENTRENADOR CUANDO ELIJA UN ARO")))))</f>
        <v>BEI DER WAHL DES REIFENS SOLLTEN SIE SICH MIT IHREM TRAINER BERATEN.</v>
      </c>
      <c r="P7" s="38"/>
      <c r="Q7" s="38"/>
      <c r="R7" s="38"/>
      <c r="S7" s="38"/>
      <c r="T7" s="38"/>
      <c r="U7" s="39"/>
    </row>
    <row r="8" spans="1:21" x14ac:dyDescent="0.25">
      <c r="N8" s="10"/>
      <c r="O8" s="40" t="str">
        <f>IF(A300=1,"",IF(A300=2,"",IF(A300=3,"",IF(A300=4,"",""))))</f>
        <v/>
      </c>
      <c r="P8" s="41"/>
      <c r="Q8" s="41"/>
      <c r="R8" s="41"/>
      <c r="S8" s="41"/>
      <c r="T8" s="41"/>
      <c r="U8" s="42"/>
    </row>
    <row r="10" spans="1:21" x14ac:dyDescent="0.25">
      <c r="O10" s="4">
        <f>G47</f>
        <v>0</v>
      </c>
      <c r="R10" s="25">
        <f>J47</f>
        <v>0</v>
      </c>
    </row>
    <row r="12" spans="1:21" ht="15.75" thickBot="1" x14ac:dyDescent="0.3">
      <c r="D12" s="7" t="str">
        <f>IF(A300=1,IF(C47=0,"DEVI SANARE QUALCHE ERRORE","ok"),IF(A300=2,IF(C47=0,"YOU NEED TO CORRECT SOME MISTAKES","ok"),IF(A300=3,IF(C47=0,"НЕОБХОДИМО ИСПРАВИТЬ НЕКОТОРЫЕ ОШИБКИ","ok"),IF(A300=4,IF(C47=0,"VOUS DEVEZ CORRIGER CERTAINES ERREURS","ok"),IF(A300=3,IF(C47=0,"EIN FEHLER SOLL KORRIGIERT WERDEN","ok"),IF(C47=0,"DEBE CORREGIR ALGUNOS ERRORES","ok"))))))</f>
        <v>ok</v>
      </c>
      <c r="G12" s="28" t="str">
        <f>IF(A300=1,IF(K47=0,"DEVI RISPONDERE A QUALCHE DOMANDA !!","ok"),IF(A300=2,IF(K47=0,"YOU HAVE TO ANSWER A FEW QUESTIONS !!","ok"),IF(A300=3,IF(K47=0,"ОТВЕТЬТЕ ПОЖАЛУЙСТА НА НЕСКОЛЬКО ВОПРОСОВ!","ok"),IF(A300=4,IF(K47=0,"VOUS DEVEZ REPONDRE A QUELQUES QUESTIONS !!","ok"),IF(A300=6,IF(K47=0,"KREUZEN SIE BITTE PASSENDE","ok"),IF(K47=0,"¡¡TIENES QUE RESPONDER ALGUNAS PREGUNTAS !!","ok"))))))</f>
        <v>KREUZEN SIE BITTE PASSENDE</v>
      </c>
      <c r="H12" s="28"/>
      <c r="I12" s="28"/>
      <c r="J12" s="28"/>
      <c r="K12" s="28"/>
      <c r="L12" s="28"/>
      <c r="R12" s="22" t="s">
        <v>2</v>
      </c>
      <c r="S12" s="22" t="s">
        <v>4</v>
      </c>
    </row>
    <row r="13" spans="1:21" ht="19.5" thickBot="1" x14ac:dyDescent="0.35">
      <c r="A13" s="12"/>
      <c r="B13" s="12"/>
      <c r="O13" s="29" t="str">
        <f>IF(A300=1,"CERCHI CONSIGLIATI",IF(A300=2,"CONSULTED MODEL OF HOOP",IF(A300=3,"РЕКОМЕНДУЕМЫЕ ОБРУЧИ",IF(A300=4,"CERCEAU CONSEILLÉ",IF(A300=6,"EMPFELUNG","ARO RECOMENDADO")))))</f>
        <v>EMPFELUNG</v>
      </c>
      <c r="P13" s="30"/>
      <c r="R13" s="23" t="s">
        <v>3</v>
      </c>
      <c r="S13" s="23" t="s">
        <v>5</v>
      </c>
    </row>
    <row r="14" spans="1:21" x14ac:dyDescent="0.25">
      <c r="A14" s="15"/>
      <c r="B14" s="15"/>
      <c r="C14" s="15"/>
      <c r="F14" t="s">
        <v>11</v>
      </c>
      <c r="H14" t="s">
        <v>10</v>
      </c>
      <c r="J14" s="1" t="str">
        <f>IF(A300=1,"maggiore di 1,60 mt",IF(A300=2,"over 1,60 mt",IF(A300=3,"выше чем 1,60 mt",IF(A300=4,"plus haut que",IF(A300=6,"mehr als 1,60 mt","mas grande que 1,60 mt")))))</f>
        <v>mehr als 1,60 mt</v>
      </c>
      <c r="O14" s="1"/>
    </row>
    <row r="15" spans="1:21" ht="15.75" thickBot="1" x14ac:dyDescent="0.3">
      <c r="A15" s="16"/>
      <c r="B15" s="15">
        <f>IF(D216=4,1,0)</f>
        <v>1</v>
      </c>
      <c r="C15" s="15"/>
      <c r="O15" s="18" t="str">
        <f>IF(A300=1,IF(G47=1,IF(AND(D216=1,D224=1,D244=1),"Cerchio PASTORELLI mod. RODEO cm 60",IF(AND(D216=2,D224=1,D244=1),"Cerchi PASTORELLI mod. RODEO cm 75",IF(AND(D216=3,D224=1,D244=1),"Cerchi PASTORELLI mod. RODEO cm 85",""))),""),IF(A300=2,IF(G47=1,IF(AND(D216=1,D224=1,D244=1),"HOOP PASTORELLI mod. RODEO cm 60",IF(AND(D216=2,D224=1,D244=1),"HOOP PASTORELLI mod. RODEO cm 75",IF(AND(D216=3,D224=1,D244=1),"HOOP PASTORELLI mod. RODEO cm 85",""))),""),IF(A300=3,IF(G47=1,IF(AND(D216=1,D224=1,D244=1),"Обручи PASTORELLI mod. RODEO cm 60",IF(AND(D216=2,D224=1,D244=1),"Обручи PASTORELLI mod. RODEO cm 75",IF(AND(D216=3,D224=1,D244=1),"Обручи PASTORELLI mod. RODEO cm 85",""))),""),IF(A300=4,IF(G47=1,IF(AND(D216=1,D224=1,D244=1),"Cerceau PASTORELLI mod. RODEO cm 60",IF(AND(D216=2,D224=1,D244=1),"Cerceau PASTORELLI mod. RODEO cm 75",IF(AND(D216=3,D224=1,D244=1),"Cerceau PASTORELLI mod. RODEO cm 85",""))),""),IF(A300=6,IF(G47=1,IF(AND(D216=1,D224=1,D244=1),"Reifen PASTORELLI mod. RODEO cm 60",IF(AND(D216=2,D224=1,D244=1),"Reifen PASTORELLI mod. RODEO cm 75",IF(AND(D216=3,D224=1,D244=1),"Reifen PASTORELLI mod. RODEO cm 85",""))),""),IF(G47=1,IF(AND(D216=1,D224=1,D244=1),"Aro PASTORELLI mod. RODEO cm 60",IF(AND(D216=2,D224=1,D244=1),"Aro PASTORELLI mod. RODEO cm 75",IF(AND(D216=3,D224=1,D244=1),"Aro PASTORELLI mod. RODEO cm 85",""))),""))))))</f>
        <v/>
      </c>
      <c r="P15" s="6"/>
      <c r="Q15" s="6"/>
      <c r="R15" s="26" t="str">
        <f>IF(G47=1,IF(AND(D216=1,D224=1,D244=1),"00306",IF(AND(D216=2,D224=1,D244=1),"00303",IF(AND(D216=3,D224=1,D244=1),"00113",""))),"")</f>
        <v/>
      </c>
      <c r="S15" s="26"/>
    </row>
    <row r="16" spans="1:21" ht="15.75" thickBot="1" x14ac:dyDescent="0.3">
      <c r="A16" s="17" t="s">
        <v>6</v>
      </c>
      <c r="B16" s="15"/>
      <c r="C16" s="15"/>
      <c r="D16" s="13" t="str">
        <f>IF(A300=1,"STATURA",IF(A300=2,"HEIGHT",IF(A300=3,"рост",IF(A300=4,"taille",IF(A300=6,"Wachstum","ESTATURA")))))</f>
        <v>Wachstum</v>
      </c>
      <c r="F16" s="8" t="str">
        <f>IF(A300=1,"PICCOLA",IF(A300=2,"SMALL",IF(A300=3,"МАЛЕНЬКИЙ",IF(A300=4,"PETITE",IF(A300=6,"niedrig","PEQUENA")))))</f>
        <v>niedrig</v>
      </c>
      <c r="G16" s="1"/>
      <c r="H16" s="8" t="str">
        <f>IF(A300=1,"MEDIA",IF(A300=2,"AVERAGE",IF(A300=3,"СРЕДНИЙ",IF(A300=4,"MOYENNE",IF(A300=6,"mittel","PROMEDIO")))))</f>
        <v>mittel</v>
      </c>
      <c r="I16" s="1"/>
      <c r="J16" s="8" t="str">
        <f>IF(A300=1,"ALTA",IF(A300=2,"HIGH",IF(A300=3,"ВЫСОКИЙ",IF(A300=4,"HAUTE",IF(A300=6,"hoch","ALTO")))))</f>
        <v>hoch</v>
      </c>
      <c r="O16" s="18" t="str">
        <f>IF(A300=1,IF(G47=1,IF(AND(D216=1,D224=1,D244=1),"Cerchio PASTORELLI mod. RODEO cm 65",IF(AND(D216=2,D224=1,D244=1),"Cerchi PASTORELLI mod. RODEO cm 80",IF(AND(D216=3,D224=1,D244=1),"Cerchi PASTORELLI mod. RODEO cm 89",""))),""),IF(A300=2,IF(G47=1,IF(AND(D216=1,D224=1,D244=1),"HOOP PASTORELLI mod. RODEO cm 65",IF(AND(D216=2,D224=1,D244=1),"HOOP PASTORELLI mod. RODEO cm 80",IF(AND(D216=3,D224=1,D244=1),"HOOP PASTORELLI mod. RODEO cm 89",""))),""),IF(A300=3,IF(G47=1,IF(AND(D216=1,D224=1,D244=1),"Обручи PASTORELLI mod. RODEO cm 65",IF(AND(D216=2,D224=1,D244=1),"Обручи PASTORELLI mod. RODEO cm 80",IF(AND(D216=3,D224=1,D244=1),"Обручи PASTORELLI mod. RODEO cm 89",""))),""),IF(A300=4,IF(G47=1,IF(AND(D216=1,D224=1,D244=1),"Cerceau PASTORELLI mod. RODEO cm 65",IF(AND(D216=2,D224=1,D244=1),"Cerceau PASTORELLI mod. RODEO cm 80",IF(AND(D216=3,D224=1,D244=1),"Cerceau PASTORELLI mod. RODEO cm 89",""))),""),IF(A300=6,IF(G47=1,IF(AND(D216=1,D224=1,D244=1),"Reifen PASTORELLI mod. RODEO cm 65",IF(AND(D216=2,D224=1,D244=1),"Reifen PASTORELLI mod. RODEO cm 80",IF(AND(D216=3,D224=1,D244=1),"Reifen PASTORELLI mod. RODEO cm 89",""))),""),IF(G47=1,IF(AND(D216=1,D224=1,D244=1),"Aro PASTORELLI mod. RODEO cm 65",IF(AND(D216=2,D224=1,D244=1),"Aro PASTORELLI mod. RODEO cm 80",IF(AND(D216=3,D224=1,D244=1),"Aro PASTORELLI mod. RODEO cm 89",""))),""))))))</f>
        <v/>
      </c>
      <c r="P16" s="6"/>
      <c r="Q16" s="6"/>
      <c r="R16" s="26" t="str">
        <f>IF(G47=1,IF(AND(D216=1,D224=1,D244=1),"00305",IF(AND(D216=2,D224=1,D244=1),"00111",IF(AND(D216=3,D224=1,D244=1),"00024",""))),"")</f>
        <v/>
      </c>
      <c r="S16" s="26"/>
    </row>
    <row r="17" spans="1:20" x14ac:dyDescent="0.25">
      <c r="A17" s="16"/>
      <c r="B17" s="15"/>
      <c r="C17" s="16"/>
      <c r="H17" s="1"/>
      <c r="I17" s="1"/>
      <c r="J17" s="1"/>
      <c r="O17" s="18" t="str">
        <f>IF(A300=1,IF(G47=1,IF(AND(D216=2,D224=1,D234=2,D244=1),"Cerchio PASTORELLI mod. SIDNEY cm 80",IF(AND(D216=3,D224=1,D234=2,D244=1),"Cerchio PASTORELLI mod. SIDNEY cm 89","")),""),IF(A300=2,IF(G47=1,IF(AND(D216=2,D224=1,D234=2,D244=1),"hoop PASTORELLI mod. SIDNEY cm 80",IF(AND(D216=3,D224=1,D234=2,D244=1),"hoop PASTORELLI mod. SIDNEY cm 89","")),""),IF(A300=3,IF(G47=1,IF(AND(D216=2,D224=1,D234=2,D244=1),"Обручи PASTORELLI mod. SIDNEY cm 80",IF(AND(D216=3,D224=1,D234=2,D244=1),"Обручи PASTORELLI mod. SIDNEY cm 89","")),""),IF(A300=4,IF(G47=1,IF(AND(D216=2,D224=1,D234=2,D244=1),"Cerceu PASTORELLI mod. SIDNEY cm 80",IF(AND(D216=3,D224=1,D234=2,D244=1),"Cerceau PASTORELLI mod. SIDNEY cm 89","")),""),IF(A300=6,IF(G47=1,IF(AND(D216=2,D224=1,D234=2,D244=1),"Reifen PASTORELLI mod. SIDNEY cm 80",IF(AND(D216=3,D224=1,D234=2,D244=1),"Reifen PASTORELLI mod. SIDNEY cm 89","")),""),IF(G47=1,IF(AND(D216=2,D224=1,D234=2,D244=1),"Aro PASTORELLI mod. SIDNEY cm 80",IF(AND(D216=3,D224=1,D234=2,D244=1),"Aro PASTORELLI mod. SIDNEY cm 89","")),""))))))</f>
        <v/>
      </c>
      <c r="P17" s="6"/>
      <c r="Q17" s="6"/>
      <c r="R17" s="26" t="str">
        <f>IF(G47=1,IF(AND(D216=2,D224=1,D234=2,D244=1),"00023",IF(AND(D216=3,D224=1,D234=2,D244=1),"00021","")),"")</f>
        <v/>
      </c>
      <c r="S17" s="26"/>
    </row>
    <row r="18" spans="1:20" x14ac:dyDescent="0.25">
      <c r="A18" s="16"/>
      <c r="B18" s="15"/>
      <c r="C18" s="16"/>
      <c r="O18" s="18" t="str">
        <f>IF(A300=1,IF(G47=1,IF(AND(D216=2,D224=1,D234=2,D244=1),"Cerchio PASTORELLI mod. SIDNEY cm 85",""),""),IF(A300=2,IF(G47=1,IF(AND(D216=2,D224=1,D234=2,D244=1),"hoop PASTORELLI mod. SIDNEY cm 85",""),""),IF(A300=3,IF(G47=1,IF(AND(D216=2,D224=1,D234=2,D244=1),"Обручи PASTORELLI mod. SIDNEY cm 85",""),""),IF(A300=4,IF(G47=1,IF(AND(D216=2,D224=1,D234=2,D244=1),"Cerceau PASTORELLI mod. SIDNEY cm 85",""),""),IF(A300=6,IF(G47=1,IF(AND(D216=2,D224=1,D234=2,D244=1),"Reifen PASTORELLI mod. SIDNEY cm 85",""),""),IF(G47=1,IF(AND(D216=2,D224=1,D234=2,D244=1),"Aro PASTORELLI mod. SIDNEY cm 85",""),""))))))</f>
        <v/>
      </c>
      <c r="P18" s="6"/>
      <c r="Q18" s="6"/>
      <c r="R18" s="26" t="str">
        <f>IF(G47=1,IF(AND(D216=2,D224=1,D234=2,D244=1),"00022",""),"")</f>
        <v/>
      </c>
      <c r="S18" s="26"/>
    </row>
    <row r="19" spans="1:20" x14ac:dyDescent="0.25">
      <c r="A19" s="16"/>
      <c r="B19" s="15"/>
      <c r="C19" s="16">
        <f>IF(D19&lt;&gt;"",0,1)</f>
        <v>1</v>
      </c>
      <c r="D19" s="27"/>
      <c r="K19" s="8" t="str">
        <f>IF(A300=1,IF(D216=4,"nessuna selezione",""),IF(A300=2,IF(D216=4,"no selection",""),IF(A300=3,IF(D216=4,"нет выбора",""),IF(A300=4,IF(D216=4,"pas de choix",""),IF(A300=6,IF(D216=4,"kein Auswahl",""),IF(D216=4,"Sin selección",""))))))</f>
        <v>kein Auswahl</v>
      </c>
      <c r="O19" s="18" t="str">
        <f>IF(A300=1,IF(G47=1,IF(AND(D216=2,OR(D224=2,D224=3),OR(D234=1,D234=2),OR(D244=2,D244=3)),"Cerchi PASTORELLI mod. RODEO JR cm 80 FIG",IF(AND(D216=3,OR(D224=2,D224=3,D224=4),OR(D234=1,D234=2),OR(D244=2,D244=3)),"Cerchi PASTORELLI mod. RODEO cm 89 FIG","")),""),IF(A300=2,IF(G47=1,IF(AND(D216=2,OR(D224=2,D224=3),OR(D234=1,D234=2),OR(D244=2,D244=3)),"hoop PASTORELLI mod. RODEO JR cm 80 FIG",IF(AND(D216=3,OR(D224=2,D224=3,D224=4),OR(D234=1,D234=2),OR(D244=2,D244=3)),"hoop PASTORELLI mod. RODEO cm 89 FIG","")),""),IF(A300=3,IF(G47=1,IF(AND(D216=2,OR(D224=2,D224=3),OR(D234=1,D234=2),OR(D244=2,D244=3)),"Обручи PASTORELLI mod. RODEO JR cm 80 FIG",IF(AND(D216=3,OR(D224=2,D224=3,D224=4),OR(D234=1,D234=2),OR(D244=2,D244=3)),"Обручи PASTORELLI mod. RODEO cm 89 FIG","")),""),IF(A300=4,IF(G47=1,IF(AND(D216=2,OR(D224=2,D224=3),OR(D234=1,D234=2),OR(D244=2,D244=3)),"Cerceau PASTORELLI mod. RODEO JR cm 80 FIG",IF(AND(D216=3,OR(D224=2,D224=3,D224=4),OR(D234=1,D234=2),OR(D244=2,D244=3)),"Cerceau PASTORELLI mod. RODEO cm 89 FIG","")),""),IF(A300=6,IF(G47=1,IF(AND(D216=2,OR(D224=2,D224=3),OR(D234=1,D234=2),OR(D244=2,D244=3)),"Reifen PASTORELLI mod. RODEO JR cm 80 FIG",IF(AND(D216=3,OR(D224=2,D224=3,D224=4),OR(D234=1,D234=2),OR(D244=2,D244=3)),"Reifen PASTORELLI mod. RODEO cm 89 FIG","")),""),IF(G47=1,IF(AND(D216=2,OR(D224=2,D224=3),OR(D234=1,D234=2),OR(D244=2,D244=3)),"Aro PASTORELLI mod. RODEO JR cm 80 FIG",IF(AND(D216=3,OR(D224=2,D224=3,D224=4),OR(D234=1,D234=2),OR(D244=2,D244=3)),"Aro PASTORELLI mod. RODEO cm 89 FIG","")),""))))))</f>
        <v/>
      </c>
      <c r="P19" s="6"/>
      <c r="Q19" s="6"/>
      <c r="R19" s="26" t="str">
        <f>IF(G47=1,IF(AND(D216=2,OR(D224=2,D224=3),OR(D234=1,D234=2),OR(D244=2,D244=3)),"00302",IF(AND(D216=3,OR(D224=2,D224=3,D224=4),OR(D234=1,D234=2),OR(D244=2,D244=3)),"00300","")),"")</f>
        <v/>
      </c>
      <c r="S19" s="26" t="str">
        <f>IF(G47=1,IF(AND(D216=2,OR(D224=2,D224=3),OR(D234=1,D234=2),OR(D244=2,D244=3)),"04014",IF(AND(D216=3,OR(D224=2,D224=3,D224=4),OR(D234=1,D234=2),OR(D244=2,D244=3)),"00300","")),"")</f>
        <v/>
      </c>
      <c r="T19" s="24" t="str">
        <f>IF(G47=1,IF(AND(D216=2,OR(D224=2,D224=3),OR(D234=1,D234=2),OR(D244=2,D244=3)),"min. 260 gr",IF(AND(D216=3,OR(D224=2,D224=3,D224=4),OR(D234=1,D234=2),OR(D244=2,D244=3)),"min 300 gr","")),"")</f>
        <v/>
      </c>
    </row>
    <row r="20" spans="1:20" x14ac:dyDescent="0.25">
      <c r="A20" s="16"/>
      <c r="B20" s="15"/>
      <c r="C20" s="16">
        <f>IF(D20&lt;&gt;"",0,1)</f>
        <v>1</v>
      </c>
      <c r="D20" s="27"/>
      <c r="K20" s="9"/>
      <c r="O20" s="18" t="str">
        <f>IF(A300=1,IF(G47=1,IF(AND(D216=2,OR(D224=2,D224=3),OR(D234=1,D234=2),OR(D244=2,D244=3)),"Cerchi PASTORELLI mod. RODEO JR cm 85 FIG",IF(AND(D216=2,OR(D224=3,D224=4),OR(D234=1,D234=2),OR(D244=2,D244=3)),"cerchio PASTORELLI mod. RODEO cm 85 JUN SEN FIG","")),""),IF(A300=2,IF(G47=1,IF(AND(D216=2,OR(D224=2,D224=3),OR(D234=1,D234=2),OR(D244=2,D244=3)),"hoop PASTORELLI mod. RODEO JR cm 85 FIG",IF(AND(D216=2,OR(D224=3,D224=4),OR(D234=1,D234=2),OR(D244=2,D244=3)),"hoop PASTORELLI mod. RODEO cm 85 JUN SEN FIG","")),""),IF(A300=3,IF(G47=1,IF(AND(D216=2,OR(D224=2,D224=3),OR(D234=1,D234=2),OR(D244=2,D244=3)),"Обручи PASTORELLI mod. RODEO JR cm 85 FIG",IF(AND(D216=2,OR(D224=3,D224=4),OR(D234=1,D234=2),OR(D244=2,D244=3)),"Обручи PASTORELLI mod. RODEO cm 85 JUN SEN FIG","")),""),IF(A300=4,IF(G47=1,IF(AND(D216=2,OR(D224=2,D224=3),OR(D234=1,D234=2),OR(D244=2,D244=3)),"Cerceau PASTORELLI mod. RODEO JR cm 85 FIG",IF(AND(D216=2,OR(D224=3,D224=4),OR(D234=1,D234=2),OR(D244=2,D244=3)),"Cerceau PASTORELLI mod. RODEO cm 85 JUN SEN FIG","")),""),IF(A300=6,IF(G47=1,IF(AND(D216=2,OR(D224=2,D224=3),OR(D234=1,D234=2),OR(D244=2,D244=3)),"Reifen PASTORELLI mod. RODEO JR cm 85 FIG",IF(AND(D216=2,OR(D224=3,D224=4),OR(D234=1,D234=2),OR(D244=2,D244=3)),"Reifen PASTORELLI mod. RODEO cm 85 JUN SEN FIG","")),""),IF(G47=1,IF(AND(D216=2,OR(D224=2,D224=3),OR(D234=1,D234=2),OR(D244=2,D244=3)),"Aro PASTORELLI mod. RODEO JR cm 85 FIG",IF(AND(D216=2,OR(D224=3,D224=4),OR(D234=1,D234=2),OR(D244=2,D244=3)),"Aro PASTORELLI mod. RODEO cm 85 JUN SEN FIG","")),""))))))</f>
        <v/>
      </c>
      <c r="P20" s="6"/>
      <c r="Q20" s="6"/>
      <c r="R20" s="26" t="str">
        <f>IF(G47=1,IF(AND(D216=2,OR(D224=2,D224=3),OR(D234=1,D234=2),OR(D244=2,D244=3)),"00301",IF(AND(D216=2,OR(D224=3,D224=4),OR(D234=1,D234=2),OR(D244=2,D244=3)),"04861","")),"")</f>
        <v/>
      </c>
      <c r="S20" s="26" t="str">
        <f>IF(G47=1,IF(AND(D216=2,OR(D224=2,D224=3),OR(D234=1,D234=2),OR(D244=2,D244=3)),"04015",IF(AND(D216=2,OR(D224=3,D224=4),OR(D234=1,D234=2),OR(D244=2,D244=3)),"04861","")),"")</f>
        <v/>
      </c>
      <c r="T20" s="24" t="str">
        <f>IF(G47=1,IF(AND(D216=2,OR(D224=2,D224=3),OR(D234=1,D234=2),OR(D244=2,D244=3)),"min. 260 gr",IF(AND(D216=2,OR(D224=3,D224=4),OR(D234=1,D234=2),OR(D244=2,D244=3)),"min. 300 gr","")),"")</f>
        <v/>
      </c>
    </row>
    <row r="21" spans="1:20" x14ac:dyDescent="0.25">
      <c r="A21" s="16"/>
      <c r="B21" s="15"/>
      <c r="C21" s="16"/>
      <c r="N21" s="4">
        <f>IF(AND(D$26="",D$42="",D$216&lt;&gt;4,D$224&lt;&gt;5,D$234&lt;&gt;3,D$244&lt;&gt;4),1,0)</f>
        <v>0</v>
      </c>
      <c r="O21" s="18" t="str">
        <f>IF(A300=1,IF(G47=1,IF(AND(D216=2,OR(D224=3,D224=4,D224=5),D234=2,OR(D244=2,D244=3)),"Cerchi PASTORELLI mod. Sidney cm 80 FIG",""),""),IF(A300=2,IF(G47=1,IF(AND(D216=2,OR(D224=3,D224=4,D224=5),D234=2,OR(D244=2,D244=3)),"hoop PASTORELLI mod. Sidney cm 80 FIG",""),""),IF(A300=3,IF(G47=1,IF(AND(D216=2,OR(D224=3,D224=4,D224=5),D234=2,OR(D244=2,D244=3)),"Обручи PASTORELLI mod. Sidney cm 80 FIG",""),""),IF(A300=4,IF(G47=1,IF(AND(D216=2,OR(D224=3,D224=4,D224=5),D234=2,OR(D244=2,D244=3)),"Cerceau PASTORELLI mod. Sidney cm 80 FIG",""),""),IF(A300=6,IF(G47=1,IF(AND(D216=2,OR(D224=3,D224=4,D224=5),D234=2,OR(D244=2,D244=3)),"Reifen PASTORELLI mod. Sidney cm 80 FIG",""),""),IF(G47=1,IF(AND(D216=2,OR(D224=3,D224=4,D224=5),D234=2,OR(D244=2,D244=3)),"Aro PASTORELLI mod. Sidney cm 80 FIG",""),""))))))</f>
        <v/>
      </c>
      <c r="P21" s="6"/>
      <c r="Q21" s="6"/>
      <c r="R21" s="26" t="str">
        <f>IF(G47=1,IF(AND(D216=2,OR(D224=3,D224=4,D224=5),D234=2,OR(D244=2,D244=3)),"00312",""),"")</f>
        <v/>
      </c>
      <c r="S21" s="26" t="str">
        <f>IF(G47=1,IF(AND(D216=2,OR(D224=3,D224=4,D224=5),D234=2,OR(D244=2,D244=3)),"00312",""),"")</f>
        <v/>
      </c>
      <c r="T21" s="24" t="str">
        <f>IF(G47=1,IF(AND(D216=2,OR(D224=3,D224=4,D224=5),D234=2,OR(D244=2,D244=3)),"min. 300 gr",""),"")</f>
        <v/>
      </c>
    </row>
    <row r="22" spans="1:20" x14ac:dyDescent="0.25">
      <c r="A22" s="16"/>
      <c r="B22" s="15"/>
      <c r="C22" s="16">
        <f>IF(D$26&lt;&gt;"",1,0)</f>
        <v>0</v>
      </c>
      <c r="O22" s="18" t="str">
        <f>IF(A300=1,IF(G47=1,IF(AND(D216=2,OR(D224=3,D224=4,D224=5),D234=2,OR(D244=2,D244=3)),"Cerchi PASTORELLI mod. Sidney cm 85 FIG",""),""),IF(A300=2,IF(G47=1,IF(AND(D216=2,OR(D224=3,D224=4,D224=5),D234=2,OR(D244=2,D244=3)),"hoop PASTORELLI mod. Sidney cm 85 FIG",""),""),IF(A300=3,IF(G47=1,IF(AND(D216=2,OR(D224=3,D224=4,D224=5),D234=2,OR(D244=2,D244=3)),"Обручи PASTORELLI mod. Sidney cm 85 FIG",""),""),IF(A300=4,IF(G47=1,IF(AND(D216=2,OR(D224=3,D224=4,D224=5),D234=2,OR(D244=2,D244=3)),"Cerceau PASTORELLI mod. Sidney cm 85 FIG",""),""),IF(A300=6,IF(G47=1,IF(AND(D216=2,OR(D224=3,D224=4,D224=5),D234=2,OR(D244=2,D244=3)),"Reifen PASTORELLI mod. Sidney cm 85 FIG",""),""),IF(G47=1,IF(AND(D216=2,OR(D224=3,D224=4,D224=5),D234=2,OR(D244=2,D244=3)),"Aro PASTORELLI mod. Sidney cm 85 FIG",""),""))))))</f>
        <v/>
      </c>
      <c r="P22" s="6"/>
      <c r="Q22" s="6"/>
      <c r="R22" s="26" t="str">
        <f>IF(G47=1,IF(AND(D216=2,OR(D224=3,D224=4,D224=5),D234=2,OR(D244=2,D244=3)),"00311",""),"")</f>
        <v/>
      </c>
      <c r="S22" s="26" t="str">
        <f>IF(G47=1,IF(AND(D216=2,OR(D224=3,D224=4,D224=5),D234=2,OR(D244=2,D244=3)),"00311",""),"")</f>
        <v/>
      </c>
      <c r="T22" s="24" t="str">
        <f>IF(G47=1,IF(AND(D216=2,OR(D224=3,D224=4,D224=5),D234=2,OR(D244=2,D244=3)),"min. 300 gr",""),"")</f>
        <v/>
      </c>
    </row>
    <row r="23" spans="1:20" ht="15.75" thickBot="1" x14ac:dyDescent="0.3">
      <c r="A23" s="16"/>
      <c r="B23" s="15">
        <f>IF(AND(D216&lt;&gt;4,D224=5),1,0)</f>
        <v>0</v>
      </c>
      <c r="C23" s="16">
        <f>IF(D42&lt;&gt;"",1,0)</f>
        <v>0</v>
      </c>
      <c r="O23" s="18" t="str">
        <f>IF(A300=1,IF(G47=1,IF(AND(D216=3,OR(D224=3,D224=4,D224=5),D234=2,OR(D244=2,D244=3)),"Cerchi PASTORELLI mod. Sidney cm 89 FIG",""),""),IF(A300=2,IF(G47=1,IF(AND(D216=3,OR(D224=3,D224=4,D224=5),D234=2,OR(D244=2,D244=3)),"hoop PASTORELLI mod. Sidney cm 89 FIG",""),""),IF(A300=3,IF(G47=1,IF(AND(D216=3,OR(D224=3,D224=4,D224=5),D234=2,OR(D244=2,D244=3)),"Обручи PASTORELLI mod. Sidney cm 89 FIG",""),""),IF(A300=4,IF(G47=1,IF(AND(D216=3,OR(D224=3,D224=4,D224=5),D234=2,OR(D244=2,D244=3)),"cerceau PASTORELLI mod. Sidney cm 89 FIG",""),""),IF(A300=6,IF(G47=1,IF(AND(D216=3,OR(D224=3,D224=4,D224=5),D234=2,OR(D244=2,D244=3)),"Reifen PASTORELLI mod. Sidney cm 89 FIG",""),""),IF(G47=1,IF(AND(D216=3,OR(D224=3,D224=4,D224=5),D234=2,OR(D244=2,D244=3)),"Aro PASTORELLI mod. Sidney cm 89 FIG",""),""))))))</f>
        <v/>
      </c>
      <c r="P23" s="6"/>
      <c r="Q23" s="6"/>
      <c r="R23" s="26" t="str">
        <f>IF(G47=1,IF(AND(D216=3,OR(D224=3,D224=4,D224=5),D234=2,OR(D244=2,D244=3)),"00310",""),"")</f>
        <v/>
      </c>
      <c r="S23" s="26" t="str">
        <f>IF(G47=1,IF(AND(D216=3,OR(D224=3,D224=4,D224=5),D234=2,OR(D244=2,D244=3)),"00310",""),"")</f>
        <v/>
      </c>
      <c r="T23" s="24" t="str">
        <f>IF(G47=1,IF(AND(D216=3,OR(D224=3,D224=4,D224=5),D234=2,OR(D244=2,D244=3)),"min. 300 gr",""),"")</f>
        <v/>
      </c>
    </row>
    <row r="24" spans="1:20" ht="15.75" thickBot="1" x14ac:dyDescent="0.3">
      <c r="A24" s="17" t="s">
        <v>7</v>
      </c>
      <c r="B24" s="15">
        <f>IF(AND(D234=3,D216&lt;&gt;4,D224&lt;&gt;5),1,0)</f>
        <v>0</v>
      </c>
      <c r="C24" s="16"/>
      <c r="D24" s="13" t="str">
        <f>IF(A300=1,"CATEGORIA",IF(A300=2,"CATEGORY",IF(A300=3,"КАТЕГОРИЯ",IF(A300=4,"CATÉGORIE",IF(A300=6,"Kategorie","CATEGORÍA")))))</f>
        <v>Kategorie</v>
      </c>
      <c r="F24" s="8" t="str">
        <f>IF(A300=1,"INIZIANTI",IF(A300=2,"BEGINNERS",IF(A300=3,"НАЧИНАЮЩИЕ",IF(A300=4,"DÉBUTANTS",IF(A300=6,"Kleinkind","PRINCIPIANTES")))))</f>
        <v>Kleinkind</v>
      </c>
      <c r="G24" s="1"/>
      <c r="H24" s="8" t="str">
        <f>IF(A300=1,"ALLIEVE",IF(A300=2,"INTERMEDIATE",IF(A300=3,"ДЕТСКИЕ",IF(A300=4,"ÉLÈVE",IF(A300=6,"Anfänger","INTERMEDIO")))))</f>
        <v>Anfänger</v>
      </c>
      <c r="I24" s="1"/>
      <c r="J24" s="8" t="s">
        <v>0</v>
      </c>
      <c r="K24" s="1"/>
      <c r="L24" s="8" t="s">
        <v>1</v>
      </c>
      <c r="O24" s="18" t="str">
        <f>IF(G47=1,IF(A300=1,IF(AND(D216=1,D224=1,D244=1),"Cerchio PASTORELLI mod. RODEO cm 70",""),IF(A300=2,IF(AND(D216=1,D224=1,D244=1),"HOOP PASTORELLI mod. RODEO cm 70",""),IF(A300=3,IF(AND(D216=1,D224=1,D244=1),"Обручи PASTORELLI mod. RODEO cm 70",""),IF(A300=4,IF(AND(D216=1,D224=1,D244=1),"Cerceau PASTORELLI mod. RODEO cm 70",""),IF(A300=6,IF(AND(D216=1,D224=1,D244=1),"Reifen PASTORELLI mod. RODEO cm 70",""),IF(AND(D216=1,D224=1,D244=1),"Aro PASTORELLI mod. RODEO cm 70","")))))),"")</f>
        <v/>
      </c>
      <c r="P24" s="6"/>
      <c r="Q24" s="6"/>
      <c r="R24" s="26" t="str">
        <f>IF(G47=1,IF(AND(D216=1,D224=1,D244=1),"00304",""),"")</f>
        <v/>
      </c>
      <c r="S24" s="26"/>
    </row>
    <row r="25" spans="1:20" x14ac:dyDescent="0.25">
      <c r="A25" s="16"/>
      <c r="B25" s="15"/>
      <c r="C25" s="16"/>
      <c r="O25" s="18" t="str">
        <f>IF(A300=1,IF(AND(D216=1,OR( D224=2,D224=3),OR(D244=2,D244=3)),"Cerchio PASTORELLI mod. RODEO cm 70",""),IF(A300=2,IF(AND(D216=1,OR( D224=2,D224=3),OR(D244=2,D244=3)),"hoop PASTORELLI mod. RODEO cm 70",""),IF(A300=3,IF(AND(D216=1,OR( D224=2,D224=3),OR(D244=2,D244=3)),"Обручи PASTORELLI mod. RODEO cm 70",""),IF(A300=4,IF(AND(D216=1,OR( D224=2,D224=3),OR(D244=2,D244=3)),"Cerceau PASTORELLI mod. RODEO cm 70",""),IF(A300=5,IF(AND(D216=1,OR( D224=2,D224=3),OR(D244=2,D244=3)),"Aro PASTORELLI mod. RODEO cm 70",""),IF(A300=6,IF(AND(D216=1,OR( D224=2,D224=3),OR(D244=2,D244=3)),"Reifen PASTORELLI mod. RODEO cm 70",""),""))))))</f>
        <v/>
      </c>
      <c r="P25" s="6"/>
      <c r="Q25" s="6"/>
      <c r="R25" s="26" t="str">
        <f>IF(AND(D216=1,OR( D224=2,D224=3),OR(D244=2,D244=3)),"00304","")</f>
        <v/>
      </c>
      <c r="S25" s="26"/>
    </row>
    <row r="26" spans="1:20" x14ac:dyDescent="0.25">
      <c r="A26" s="16"/>
      <c r="B26" s="15"/>
      <c r="C26" s="16">
        <f>IF(D26&lt;&gt;"",0,1)</f>
        <v>1</v>
      </c>
      <c r="D26" s="7" t="str">
        <f>IF(A300=1,IF(AND(D224=1,OR(D244=2,D244=3)),"errore,  per definizione le INIZIANTI non fanno COMPETIZIONI, premi ALLIEVE o JUN o SEN",""),IF(A300=2,IF(AND(D224=1,OR(D244=2,D244=3)),"error, by definition the BEGINNERS do not COMPETITIONS, press INTERMEDIATE or JUN or SEN",""),IF(A300=3,IF(AND(D224=1,OR(D244=2,D244=3)),"ошибка, по определению НАЧИНАЮЩИЕ не участвуют в СОРЕВНОВАНИЯХ, нажмите УЧЕНИКИ или ИЮНЬ или СЕН",""),IF(A300=4,IF(AND(D224=1,OR(D244=2,D244=3)),"erreur, par définition les DÉBUTANTS ne font pas de COMPÉTITIONS, appuyez sur ÉLÈVE ou JUN ou SEN",""),IF(AND(D224=1,OR(D244=2,D244=3)),"error, por definición los PRINCIPIANTES no hacen COMPETICIONES, presione INTERMEDIO o JUN o SEN","")))))</f>
        <v/>
      </c>
      <c r="O26" s="18" t="str">
        <f>IF(A300=1,IF(AND(D216=1,OR( D224=2,D224=3),OR(D244=2,D244=3)),"Cerchio PASTORELLI mod. RODEO cm 75",""),IF(A300=2,IF(AND(D216=1,OR( D224=2,D224=3),OR(D244=2,D244=3)),"Hoop PASTORELLI mod. RODEO cm 75",""),IF(A300=3,IF(AND(D216=1,OR( D224=2,D224=3),OR(D244=2,D244=3)),"Обручи  PASTORELLI mod. RODEO cm 75",""),IF(A300=4,IF(AND(D216=1,OR( D224=2,D224=3),OR(D244=2,D244=3)),"Cerceau PASTORELLI mod. RODEO cm 75",""),IF(A300=5,IF(AND(D216=1,OR( D224=2,D224=3),OR(D244=2,D244=3)),"Aro PASTORELLI mod. RODEO cm 75",""),IF(A300=6,IF(AND(D216=1,OR( D224=2,D224=3),OR(D244=2,D244=3)),"Reifen PASTORELLI mod. RODEO cm 75",""),""))))))</f>
        <v/>
      </c>
      <c r="P26" s="6"/>
      <c r="Q26" s="6"/>
      <c r="R26" s="26" t="str">
        <f>IF(AND(D216=1,OR( D224=2,D224=3),OR(D244=2,D244=3)),"00303","")</f>
        <v/>
      </c>
      <c r="S26" s="26"/>
    </row>
    <row r="27" spans="1:20" x14ac:dyDescent="0.25">
      <c r="A27" s="16"/>
      <c r="B27" s="15"/>
      <c r="C27" s="16">
        <f>IF(D27&lt;&gt;"",0,1)</f>
        <v>1</v>
      </c>
      <c r="D27" s="7" t="str">
        <f>IF(A300=1,IF(AND(D224=1,OR(D244=2,D244=3)),"o cambi in  LIVELLO- ALLENAMENTI in basso",""),IF(A300=2,IF(AND(D224=1,OR(D244=2,D244=3)),"or change LEVEL-TRAINING below",""),IF(A300=3,IF(AND(D224=1,OR(D244=2,D244=3)),"или измените УРОВЕНЬ- ТРЕНИРОВКИ ниже",""),IF(A300=4,IF(AND(D224=1,OR(D244=2,D244=3)),"ou changer le NIVEAU-ENTRAÎNEMENTS ci-dessous",""),IF(AND(D224=1,OR(D244=2,D244=3)),"o cambie a el NIVEL-ENTRENAMIENTOS a continuación","")))))</f>
        <v/>
      </c>
      <c r="K27" s="1" t="str">
        <f>IF(A300=1,IF(D224=5,"nessuna selezione",""),IF(A300=2,IF(D224=5,"no selection",""),IF(A300=3,IF(D224=5,"нет выбора",""),IF(A300=4,IF(D224=5,"pas de choix",""),IF(A300=6,IF(D216=4,"kein Auswahl",""),IF(D224=5,"Sin selección",""))))))</f>
        <v>kein Auswahl</v>
      </c>
      <c r="O27" s="19" t="str">
        <f>IF(A300=1,IF(AND(D216=1,OR(D224=2,D224=3),D244=2),"attenzione, per l'altezza sono consigliati questi cerchi, ma in caso di prime competizioni",IF(AND(D216=1,OR(D224=2,D224=3),D244=3),"attenzione, per l'altezza sono consigliati questi cerchi, ma in caso di GARE FIG","")),IF(A300=2,IF(AND(D216=1,OR(D224=2,D224=3),D244=2),"attention, for the height these hoop are recommended, but in case of first competitions",IF(AND(D216=1,OR(D224=2,D224=3),D244=3),"attention, for the height these hoops are recommended, but in case of competitions FIG","")),IF(A300=3,IF(AND(D216=1,OR(D224=2,D224=3),D244=2),"внимание, для высоты рекомендуются эти Обручи, но на случай первых соревнований",IF(AND(D216=1,OR(D224=2,D224=3),D244=3),"внимание, для высоты рекомендуются эти Обручи, но в случае соревнований FIG","")),IF(A300=4,IF(AND(D216=1,OR(D224=2,D224=3),D244=2),"attention, pour la hauteur ces cerceauz sont conseillées, mais en cas de premières compétitions",IF(AND(D216=1,OR(D224=2,D224=3),D244=3),"attention, pour la hauteur ces cerceaux sont conseillées, mais en cas de competicion FIG","")),IF(A300=5,IF(AND(D216=1,OR(D224=2,D224=3),D244=2),"atención, por la altura se recomiendan estos aros, pero en caso de primeras competiciones",IF(AND(D216=1,OR(D224=2,D224=3),D244=3),"atención, por la altura se recomiendan esto aro, pero en caso de competencia FIG","")),IF(A300=6,IF(AND(D216=1,OR(D224=2,D224=3),D244=2),"Achtung, die Größe wird empfohlen, aber im Fall von regionellen Wettkämpfe",IF(AND(D216=1,OR(D224=2,D224=3),D244=3),"Achtung, die Größe wird empfohlen, aber im Fall von offiziellen FIG Wettkämpfe","")),""))))))</f>
        <v/>
      </c>
      <c r="P27" s="6"/>
      <c r="Q27" s="6"/>
      <c r="R27" s="26"/>
      <c r="S27" s="26"/>
    </row>
    <row r="28" spans="1:20" x14ac:dyDescent="0.25">
      <c r="A28" s="16"/>
      <c r="B28" s="15"/>
      <c r="C28" s="16"/>
      <c r="K28" s="1"/>
      <c r="N28" s="4">
        <f>IF(AND(D$26="",D$42="",D$216&lt;&gt;4,D$224&lt;&gt;5,D$234&lt;&gt;3,D$244&lt;&gt;4),1,0)</f>
        <v>0</v>
      </c>
      <c r="O28" s="19" t="str">
        <f>IF(A300=1,IF(AND(D216=1,OR(D224=2,D224=3),D244=2),"potrebbero essere richiesti questi cerchi omologati FIG:",IF(AND(D216=1,OR(D224=2,D224=3),D244=3),"sara' obbligatorio l'uso di questo cerchio omologato FIG:","")),IF(A300=2,IF(AND(D216=1,OR(D224=2,D224=3),D244=2),"these FIG approved hoops may be required:",IF(AND(D216=1,OR(D224=2,D224=3),D244=3),"the use of this FIG approved hoops will be mandatory:","")),IF(A300=3,IF(AND(D216=1,OR(D224=2,D224=3),D244=2),"эти Обручи, одобренные FIG, могут потребоваться:",IF(AND(D216=1,OR(D224=2,D224=3),D244=3),"использование этого Обручи, одобренного ФИЖ, будет обязательным:","")),IF(A300=4,IF(AND(D216=1,OR(D224=2,D224=3),D244=2),"ces cerceaux homologuées FIG peuvent être nécessaires:",IF(AND(D216=1,OR(D224=2,D224=3),D244=3),"l'utilisation de ces cerceaux homologuée FIG sera obligatoire :","")),IF(A300=5,IF(AND(D216=1,OR(D224=2,D224=3),D244=2),"estos aros aprobados por la FIG pueden ser necesarios:",IF(AND(D216=1,OR(D224=2,D224=3),D244=3),"será obligatorio el uso de esto aro homologado por la FIG:","")),IF(A300=6,IF(AND(D216=1,OR(D224=2,D224=3),D244=2),"Diese FIG-zugelassenen Reifen können erforderlich sein:",IF(AND(D216=1,OR(D224=2,D224=3),D244=3),"die Verwendung von der FIG zugelassenen Reifen ist obligatorisch:","")),""))))))</f>
        <v/>
      </c>
      <c r="P28" s="6"/>
      <c r="Q28" s="6"/>
      <c r="R28" s="26"/>
      <c r="S28" s="26"/>
    </row>
    <row r="29" spans="1:20" x14ac:dyDescent="0.25">
      <c r="A29" s="16"/>
      <c r="B29" s="15"/>
      <c r="C29" s="16">
        <f>IF(D$26&lt;&gt;"",1,0)</f>
        <v>0</v>
      </c>
      <c r="O29" s="18" t="str">
        <f>IF(A300=1,IF(AND(D216=1,OR( D224=2,D224=3),OR(D244=2,D244=3)),"Cerchi PASTORELLI mod. RODEO JR cm 80 FIG",""),IF(A300=2,IF(AND(D216=1,OR( D224=2,D224=3),OR(D244=2,D244=3)),"hoops PASTORELLI mod. RODEO JR cm 80 FIG",""),IF(A300=3,IF(AND(D216=1,OR( D224=2,D224=3),OR(D244=2,D244=3)),"Обручи PASTORELLI mod. RODEO JR cm 80 FIG",""),IF(A300=4,IF(AND(D216=1,OR( D224=2,D224=3),OR(D244=2,D244=3)),"Cerceaux PASTORELLI mod. RODEO JR cm 80 FIG",""),IF(A300=5,IF(AND(D216=1,OR( D224=2,D224=3),OR(D244=2,D244=3)),"Aro PASTORELLI mod. RODEO JR cm 80 FIG",""),IF(A300=6,IF(AND(D216=1,OR( D224=2,D224=3),OR(D244=2,D244=3)),"Reifen PASTORELLI mod. RODEO JR cm 80 FIG",""),""))))))</f>
        <v/>
      </c>
      <c r="P29" s="6"/>
      <c r="Q29" s="6"/>
      <c r="R29" s="26" t="str">
        <f>IF(AND(D216=1,OR( D224=2,D224=3),OR(D244=2,D244=3)),"00302","")</f>
        <v/>
      </c>
      <c r="S29" s="26" t="str">
        <f>IF(AND(D216=1,OR( D224=2,D224=3),OR(D244=2,D244=3)),"04014","")</f>
        <v/>
      </c>
      <c r="T29" s="24" t="str">
        <f>IF(AND(D216=1,OR( D224=2,D224=3),OR(D244=2,D244=3)),"min. 260 gr","")</f>
        <v/>
      </c>
    </row>
    <row r="30" spans="1:20" x14ac:dyDescent="0.25">
      <c r="A30" s="16"/>
      <c r="B30" s="15"/>
      <c r="C30" s="16"/>
      <c r="O30" s="18" t="str">
        <f>IF(A300=1,IF(AND(D216=1, D224=4,OR(D244=2,D244=3)),"Cerchi PASTORELLI mod. Sidney cm 80 FIG",""),IF(A300=2,IF(AND(D216=1, D224=4,OR(D244=2,D244=3)),"hoops PASTORELLI mod. Sidney cm 80 FIG",""),IF(A300=3,IF(AND(D216=1, D224=4,OR(D244=2,D244=3)),"Обручи PASTORELLI mod. Sidney cm 80 FIG",""),IF(A300=4,IF(AND(D216=1, D224=4,OR(D244=2,D244=3)),"Cerceaux PASTORELLI mod. Sidney cm 80 FIG",""),IF(A300=5,IF(AND(D216=1, D224=4,OR(D244=2,D244=3)),"Aro PASTORELLI mod. Sidney cm 80 FIG",""),IF(A300=6,IF(AND(D216=1, D224=4,OR(D244=2,D244=3)),"Reifen PASTORELLI mod. Sidney cm 80 FIG",""),""))))))</f>
        <v/>
      </c>
      <c r="P30" s="6"/>
      <c r="Q30" s="6"/>
      <c r="R30" s="26" t="str">
        <f>IF(AND(D216=1, D224=4,OR(D244=2,D244=3)),"00312","")</f>
        <v/>
      </c>
      <c r="S30" s="26" t="str">
        <f>IF(AND(D216=1, D224=4,OR(D244=2,D244=3)),"00312","")</f>
        <v/>
      </c>
      <c r="T30" s="24" t="str">
        <f>IF(AND(D216=1, D224=4,OR(D244=2,D244=3)),"min. 300 gr","")</f>
        <v/>
      </c>
    </row>
    <row r="31" spans="1:20" ht="15.75" thickBot="1" x14ac:dyDescent="0.3">
      <c r="A31" s="16"/>
      <c r="B31" s="15">
        <f>IF(AND(D234=3,D216&lt;&gt;4,D224&lt;&gt;5),1,0)</f>
        <v>0</v>
      </c>
      <c r="C31" s="16"/>
      <c r="O31" s="6"/>
      <c r="P31" s="6"/>
      <c r="Q31" s="6"/>
      <c r="R31" s="26"/>
      <c r="S31" s="26"/>
    </row>
    <row r="32" spans="1:20" ht="15.75" thickBot="1" x14ac:dyDescent="0.3">
      <c r="A32" s="17" t="s">
        <v>8</v>
      </c>
      <c r="B32" s="15"/>
      <c r="C32" s="16"/>
      <c r="D32" s="14" t="str">
        <f>IF(A300=1,"TIPO DI CONCORSO",IF(A300=2,"TYPE OF COMPETITION",IF(A300=3,"ВИД ВЫСТУПЛЕНИЙ",IF(A300=4,"TYPE DE CONCOURS",IF(A300=6,"TYP","TIPO DE COMPETENCIA")))))</f>
        <v>TYP</v>
      </c>
      <c r="E32" s="3"/>
      <c r="G32" s="8" t="str">
        <f>IF(A300=1,"SQUADRE",IF(A300=2,"GROUP",IF(A300=3,"ГРУППОВЫЕ",IF(A300=4,"ENSEMBLE",IF(A300=6,"Gruppen","CONJUNTO")))))</f>
        <v>Gruppen</v>
      </c>
      <c r="H32" s="1"/>
      <c r="I32" s="1"/>
      <c r="J32" s="8" t="str">
        <f>IF(A300=1,"INDIVIDUALISTE",IF(A300=2,"INDIVIDUAL",IF(A300=3,"ЛИЧНЫЕ",IF(A300=4,"INDIVIDUALISTE",IF(A300=6,"Einzel","INDIVIDUALISTA")))))</f>
        <v>Einzel</v>
      </c>
      <c r="O32" s="6"/>
      <c r="P32" s="6"/>
      <c r="Q32" s="6"/>
      <c r="R32" s="26"/>
      <c r="S32" s="26"/>
    </row>
    <row r="33" spans="1:19" x14ac:dyDescent="0.25">
      <c r="A33" s="16"/>
      <c r="B33" s="15"/>
      <c r="C33" s="16"/>
      <c r="O33" s="6"/>
      <c r="P33" s="6"/>
      <c r="Q33" s="6"/>
      <c r="R33" s="26"/>
      <c r="S33" s="26"/>
    </row>
    <row r="34" spans="1:19" x14ac:dyDescent="0.25">
      <c r="A34" s="16"/>
      <c r="B34" s="15">
        <f>IF(AND(D244=4,D234&lt;&gt;3,D216&lt;&gt;4,D224&lt;&gt;5),1,0)</f>
        <v>0</v>
      </c>
      <c r="C34" s="16"/>
      <c r="O34" s="6"/>
      <c r="P34" s="6"/>
      <c r="Q34" s="6"/>
      <c r="R34" s="26"/>
      <c r="S34" s="26"/>
    </row>
    <row r="35" spans="1:19" x14ac:dyDescent="0.25">
      <c r="A35" s="16"/>
      <c r="B35" s="15"/>
      <c r="C35" s="16">
        <f>IF(D$26&lt;&gt;"",1,0)</f>
        <v>0</v>
      </c>
      <c r="K35" s="1" t="str">
        <f>IF(A300=1,IF(D234=3,"nessuna selezione",""),IF(A300=2,IF(D234=3,"no selection",""),IF(A300=3,IF(D234=3,"нет выбора",""),IF(A300=4,IF(D234=3,"pas de choix",""),IF(A300=6,IF(D216=4,"kein Auswahl",""),IF(D234=3,"Sin selección",""))))))</f>
        <v>kein Auswahl</v>
      </c>
      <c r="N35" s="4">
        <f>IF(AND(D$26="",D$42="",D$216&lt;&gt;4,D$224&lt;&gt;5,D$234&lt;&gt;3,D$244&lt;&gt;4),1,0)</f>
        <v>0</v>
      </c>
      <c r="O35" s="6"/>
      <c r="P35" s="6"/>
      <c r="Q35" s="6"/>
      <c r="R35" s="26"/>
      <c r="S35" s="26"/>
    </row>
    <row r="36" spans="1:19" x14ac:dyDescent="0.25">
      <c r="A36" s="16"/>
      <c r="B36" s="15"/>
      <c r="C36" s="16"/>
    </row>
    <row r="37" spans="1:19" x14ac:dyDescent="0.25">
      <c r="A37" s="16"/>
      <c r="B37" s="15"/>
      <c r="C37" s="16">
        <f>IF(D42&lt;&gt;"",1,0)</f>
        <v>0</v>
      </c>
    </row>
    <row r="38" spans="1:19" x14ac:dyDescent="0.25">
      <c r="A38" s="16"/>
      <c r="B38" s="15"/>
      <c r="C38" s="16"/>
    </row>
    <row r="39" spans="1:19" x14ac:dyDescent="0.25">
      <c r="A39" s="16"/>
      <c r="B39" s="15">
        <f>IF(AND(D244=4,D234&lt;&gt;3,D216&lt;&gt;4,D224&lt;&gt;5),1,0)</f>
        <v>0</v>
      </c>
      <c r="C39" s="16">
        <f>IF(D42&lt;&gt;"",1,0)</f>
        <v>0</v>
      </c>
    </row>
    <row r="40" spans="1:19" ht="15.75" thickBot="1" x14ac:dyDescent="0.3">
      <c r="A40" s="16"/>
      <c r="B40" s="15"/>
      <c r="C40" s="16">
        <f>IF(D$26&lt;&gt;"",1,0)</f>
        <v>0</v>
      </c>
      <c r="F40" s="8" t="str">
        <f>IF(A300=1,"ALLENAMENTI",IF(A300=2,"TRAINING",IF(A300=3,"ТРЕНИРОВКИ",IF(A300=4,"ENTRAÎNEMENTS",IF(A300=6,"Training","ENTRENAMIENTOS")))))</f>
        <v>Training</v>
      </c>
      <c r="G40" s="1"/>
      <c r="H40" s="8" t="str">
        <f>IF(A300=1,"PRIME",IF(A300=2,"FIRST",IF(A300=3,"",IF(A300=4,"PREMIÈRES",IF(A300=6,"Klassifizierung","PRIMERAS")))))</f>
        <v>Klassifizierung</v>
      </c>
      <c r="I40" s="1"/>
      <c r="J40" s="8" t="str">
        <f>IF(A300=1,"GARE FIG",IF(A300=2,"FIG COMPETITIONS",IF(A300=3,"ОФИЦИАЛЬНЫЕ FIG",IF(A300=4,"COMPÉTITIONS FIG",IF(A300=6,"Offiziell FIG","COMPETICIONES FIG")))))</f>
        <v>Offiziell FIG</v>
      </c>
    </row>
    <row r="41" spans="1:19" ht="15.75" thickBot="1" x14ac:dyDescent="0.3">
      <c r="A41" s="17" t="s">
        <v>9</v>
      </c>
      <c r="B41" s="15"/>
      <c r="C41" s="16"/>
      <c r="D41" s="13" t="str">
        <f>IF(A300=1,"LIVELLO",IF(A300=2,"LEVEL",IF(A300=3,"КЛАССИФИКАЦИЯ",IF(A300=4,"NIVEAU",IF(A300=6,"Klassifizierung","NIVEL")))))</f>
        <v>Klassifizierung</v>
      </c>
      <c r="F41" s="1"/>
      <c r="G41" s="1"/>
      <c r="H41" s="8" t="str">
        <f>IF(A300=1,"COMPETIZIONI",IF(A300=2,"COMPETITIONS",IF(A300=3,"КЛАССИФИКАЦИОННЫЕ",IF(A300=4,"COMPÉTITIONS",IF(A300=6,"","COMPETICIONES")))))</f>
        <v/>
      </c>
      <c r="I41" s="1"/>
      <c r="J41" s="1"/>
    </row>
    <row r="42" spans="1:19" x14ac:dyDescent="0.25">
      <c r="A42" s="16"/>
      <c r="B42" s="15"/>
      <c r="C42" s="16">
        <f>IF(D42&lt;&gt;"",0,1)</f>
        <v>1</v>
      </c>
      <c r="D42" s="20" t="str">
        <f>IF(A300=1,IF(AND(D244=1,OR(D224=2,D224=3,D224=4)),"errore,  per definizione il livello ALLENAMENTI e' solo per INIZIANTI",""),IF(A300=2,IF(AND(D244=1,OR(D224=2,D224=3,D224=4)),"error, by definition the level -TRAINING- are for BEGINNERS only",""),IF(A300=3,IF(AND(D244=1,OR(D224=2,D224=3,D224=4)),"ошибка, по определению УРОВЕНЬ -ТРЕНИРОВКИ - предназначены только для НАЧИНАЮЩИЕ",""),IF(A300=4,IF(AND(D244=1,OR(D224=2,D224=3,D224=4)),"erreur, par définition les niveau -ENTRAÎNEMENTS- sont réservés aux DÉBUTANTS",""),IF(AND(D244=1,OR(D224=2,D224=3,D224=4)),"error, por definición, el nivel -ENTRENAMIENTOS- eres solo para PRINCIPIANTES","")))))</f>
        <v/>
      </c>
      <c r="N42" s="4">
        <f>IF(AND(D$26="",D$42="",D$216&lt;&gt;4,D$224&lt;&gt;5,D$234&lt;&gt;3,D$244&lt;&gt;4),1,0)</f>
        <v>0</v>
      </c>
    </row>
    <row r="43" spans="1:19" x14ac:dyDescent="0.25">
      <c r="A43" s="16"/>
      <c r="B43" s="15"/>
      <c r="C43" s="16">
        <f>IF(D43&lt;&gt;"",0,1)</f>
        <v>1</v>
      </c>
      <c r="D43" s="19" t="str">
        <f>IF(A300=1,IF(AND(D244=1,OR(D224=2,D224=3,D224=4)),"premi PRIME COMPETIZIONI o GARE FIG,  oppure premi CATEGORIA INIZIANTI in alto",""),IF(A300=2,IF(AND(D244=1,OR(D224=2,D224=3,D224=4)),"press FIRST COMPETITIONS or FIG COMPETITIONS, or press BEGINNERS at the top",""),IF(A300=3,IF(AND(D244=1,OR(D224=2,D224=3,D224=4)),"нажмите КЛАССИФИКАЦИОННЫЕ или ОФИЦИАЛЬНЫЕ FIG, или нажмите КАТЕГОРИЯ -НАЧИНАЮЩИМ вверху",""),IF(A300=4,IF(AND(D244=1,OR(D224=2,D224=3,D224=4)),"appuyez sur PREMIÈRES COMPÉTITIONS ou COMPÉTITIONS FIG, ou appuyez sur DEBUTANTS en haut",""),IF(AND(D244=1,OR(D224=2,D224=3,D224=4)),"presione PRIMERAS COMPETICIONES o COMPETICIONES FIG, o presione CATEGORIA PRINCIPIANTES en la parte superior","")))))</f>
        <v/>
      </c>
    </row>
    <row r="44" spans="1:19" x14ac:dyDescent="0.25">
      <c r="A44" s="15"/>
      <c r="B44" s="15"/>
      <c r="C44" s="16"/>
      <c r="D44" s="11" t="str">
        <f>IF(A300=1,IF(D244=2,"in assenza di regolamenti locali nazionali, si richiede l'adeguamento a quello FIG",""),IF(A300=2,IF(D244=2,"in the absence of local national regulations, the adaptation to that FIG is required",""),IF(A300=3,IF(D244=2,"при отсутствии местных КЛАССИФИКАЦИОННЫЕ правил требуется адаптация к FIG",""),IF(A300=4,IF(D244=2,"en l'absence de réglementation nationale locale, l'adaptation à cette FIG est requise",""),IF(D244=2,"en ausencia de regulaciones nacionales locales, se requiere la adaptación a esa FIG","")))))</f>
        <v/>
      </c>
      <c r="K44" s="1" t="str">
        <f>IF(A300=1,IF(D244=4,"nessuna selezione",""),IF(A300=2,IF(D244=4,"no selection",""),IF(A300=3,IF(D244=4,"нет выбора",""),IF(A300=4,IF(D244=4,"pas de choix",""),IF(A300=6,IF(D216=4,"kein Auswahl",""),IF(D244=4,"Sin selección",""))))))</f>
        <v>kein Auswahl</v>
      </c>
    </row>
    <row r="45" spans="1:19" x14ac:dyDescent="0.25">
      <c r="A45" s="15"/>
      <c r="B45" s="15"/>
      <c r="C45" s="16"/>
    </row>
    <row r="46" spans="1:19" x14ac:dyDescent="0.25">
      <c r="A46" s="15"/>
      <c r="B46" s="15"/>
      <c r="C46" s="16"/>
    </row>
    <row r="47" spans="1:19" x14ac:dyDescent="0.25">
      <c r="A47" s="15"/>
      <c r="B47" s="15"/>
      <c r="C47" s="16">
        <f>C19*C20*C26*C27*C42*C43</f>
        <v>1</v>
      </c>
      <c r="D47" s="5"/>
      <c r="E47" s="5"/>
      <c r="F47" s="16"/>
      <c r="G47" s="16">
        <f>C47*K47</f>
        <v>0</v>
      </c>
      <c r="H47" s="16"/>
      <c r="I47" s="16"/>
      <c r="J47" s="16"/>
      <c r="K47" s="16">
        <f>IF(OR(D216=4,D224=5,D234=3,D244=4),0,1)</f>
        <v>0</v>
      </c>
      <c r="M47" s="5"/>
    </row>
    <row r="48" spans="1:19" x14ac:dyDescent="0.25">
      <c r="A48" s="15"/>
      <c r="B48" s="15"/>
      <c r="C48" s="16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4"/>
      <c r="B49" s="4"/>
      <c r="C49" s="16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4"/>
      <c r="B50" s="4"/>
      <c r="C50" s="1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4"/>
      <c r="B51" s="4"/>
      <c r="C51" s="1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4"/>
      <c r="B52" s="4"/>
      <c r="C52" s="4"/>
    </row>
    <row r="53" spans="1:11" x14ac:dyDescent="0.25">
      <c r="A53" s="4"/>
      <c r="B53" s="4"/>
      <c r="C53" s="4"/>
    </row>
    <row r="54" spans="1:11" x14ac:dyDescent="0.25">
      <c r="A54" s="12"/>
    </row>
    <row r="55" spans="1:11" x14ac:dyDescent="0.25">
      <c r="A55" s="12"/>
    </row>
    <row r="56" spans="1:11" x14ac:dyDescent="0.25">
      <c r="A56" s="12"/>
    </row>
    <row r="57" spans="1:11" x14ac:dyDescent="0.25">
      <c r="A57" s="12"/>
    </row>
    <row r="58" spans="1:11" x14ac:dyDescent="0.25">
      <c r="A58" s="12"/>
    </row>
    <row r="59" spans="1:11" x14ac:dyDescent="0.25">
      <c r="A59" s="12"/>
    </row>
    <row r="60" spans="1:11" x14ac:dyDescent="0.25">
      <c r="A60" s="12"/>
    </row>
    <row r="216" spans="4:4" x14ac:dyDescent="0.25">
      <c r="D216" s="2">
        <v>4</v>
      </c>
    </row>
    <row r="224" spans="4:4" x14ac:dyDescent="0.25">
      <c r="D224" s="2">
        <v>5</v>
      </c>
    </row>
    <row r="234" spans="4:4" x14ac:dyDescent="0.25">
      <c r="D234" s="2">
        <v>3</v>
      </c>
    </row>
    <row r="244" spans="4:4" x14ac:dyDescent="0.25">
      <c r="D244" s="2">
        <v>4</v>
      </c>
    </row>
    <row r="300" spans="1:1" x14ac:dyDescent="0.25">
      <c r="A300" s="2">
        <v>6</v>
      </c>
    </row>
  </sheetData>
  <sheetProtection algorithmName="SHA-512" hashValue="TMbxaR31l15z3fXZKKefuj2dadHK8LSzhpU7dnZYzVuJgwF2mMqAQcJU2kJsA6h0g538XSAIn88rUVM0JnqN8g==" saltValue="bwlJxZa3gsvixTjXfVK8Gw==" spinCount="100000" sheet="1" objects="1" scenarios="1"/>
  <dataConsolidate/>
  <mergeCells count="7">
    <mergeCell ref="G12:L12"/>
    <mergeCell ref="O13:P13"/>
    <mergeCell ref="O4:U4"/>
    <mergeCell ref="O5:U5"/>
    <mergeCell ref="O6:U6"/>
    <mergeCell ref="O7:U7"/>
    <mergeCell ref="O8:U8"/>
  </mergeCells>
  <conditionalFormatting sqref="G12">
    <cfRule type="cellIs" dxfId="1" priority="29" operator="equal">
      <formula>"OK"</formula>
    </cfRule>
  </conditionalFormatting>
  <conditionalFormatting sqref="D12">
    <cfRule type="cellIs" dxfId="0" priority="28" operator="equal">
      <formula>"OK"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5</xdr:col>
                    <xdr:colOff>180975</xdr:colOff>
                    <xdr:row>13</xdr:row>
                    <xdr:rowOff>171450</xdr:rowOff>
                  </from>
                  <to>
                    <xdr:col>5</xdr:col>
                    <xdr:colOff>428625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7</xdr:col>
                    <xdr:colOff>209550</xdr:colOff>
                    <xdr:row>13</xdr:row>
                    <xdr:rowOff>171450</xdr:rowOff>
                  </from>
                  <to>
                    <xdr:col>7</xdr:col>
                    <xdr:colOff>447675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9</xdr:col>
                    <xdr:colOff>180975</xdr:colOff>
                    <xdr:row>13</xdr:row>
                    <xdr:rowOff>171450</xdr:rowOff>
                  </from>
                  <to>
                    <xdr:col>9</xdr:col>
                    <xdr:colOff>428625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171450</xdr:rowOff>
                  </from>
                  <to>
                    <xdr:col>6</xdr:col>
                    <xdr:colOff>209550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171450</xdr:rowOff>
                  </from>
                  <to>
                    <xdr:col>8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Option Button 9">
              <controlPr defaultSize="0" autoFill="0" autoLine="0" autoPict="0">
                <anchor moveWithCells="1">
                  <from>
                    <xdr:col>9</xdr:col>
                    <xdr:colOff>180975</xdr:colOff>
                    <xdr:row>21</xdr:row>
                    <xdr:rowOff>133350</xdr:rowOff>
                  </from>
                  <to>
                    <xdr:col>10</xdr:col>
                    <xdr:colOff>28575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Option Button 11">
              <controlPr defaultSize="0" autoFill="0" autoLine="0" autoPict="0">
                <anchor moveWithCells="1">
                  <from>
                    <xdr:col>11</xdr:col>
                    <xdr:colOff>171450</xdr:colOff>
                    <xdr:row>21</xdr:row>
                    <xdr:rowOff>171450</xdr:rowOff>
                  </from>
                  <to>
                    <xdr:col>11</xdr:col>
                    <xdr:colOff>561975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Option Button 14">
              <controlPr defaultSize="0" autoFill="0" autoLine="0" autoPict="0">
                <anchor moveWithCells="1">
                  <from>
                    <xdr:col>9</xdr:col>
                    <xdr:colOff>171450</xdr:colOff>
                    <xdr:row>29</xdr:row>
                    <xdr:rowOff>171450</xdr:rowOff>
                  </from>
                  <to>
                    <xdr:col>11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Option Button 17">
              <controlPr defaultSize="0" autoFill="0" autoLine="0" autoPict="0">
                <anchor moveWithCells="1">
                  <from>
                    <xdr:col>10</xdr:col>
                    <xdr:colOff>238125</xdr:colOff>
                    <xdr:row>24</xdr:row>
                    <xdr:rowOff>180975</xdr:rowOff>
                  </from>
                  <to>
                    <xdr:col>11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Option Button 16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171450</xdr:rowOff>
                  </from>
                  <to>
                    <xdr:col>10</xdr:col>
                    <xdr:colOff>457200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4" name="Group Box 6">
              <controlPr defaultSize="0" autoFill="0" autoPict="0">
                <anchor moveWithCells="1">
                  <from>
                    <xdr:col>3</xdr:col>
                    <xdr:colOff>9525</xdr:colOff>
                    <xdr:row>21</xdr:row>
                    <xdr:rowOff>19050</xdr:rowOff>
                  </from>
                  <to>
                    <xdr:col>11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Option Button 22">
              <controlPr defaultSize="0" autoFill="0" autoLine="0" autoPict="0">
                <anchor moveWithCells="1">
                  <from>
                    <xdr:col>5</xdr:col>
                    <xdr:colOff>190500</xdr:colOff>
                    <xdr:row>37</xdr:row>
                    <xdr:rowOff>152400</xdr:rowOff>
                  </from>
                  <to>
                    <xdr:col>6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Option Button 23">
              <controlPr defaultSize="0" autoFill="0" autoLine="0" autoPict="0">
                <anchor moveWithCells="1">
                  <from>
                    <xdr:col>7</xdr:col>
                    <xdr:colOff>247650</xdr:colOff>
                    <xdr:row>37</xdr:row>
                    <xdr:rowOff>171450</xdr:rowOff>
                  </from>
                  <to>
                    <xdr:col>8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Option Button 24">
              <controlPr defaultSize="0" autoFill="0" autoLine="0" autoPict="0">
                <anchor moveWithCells="1">
                  <from>
                    <xdr:col>9</xdr:col>
                    <xdr:colOff>228600</xdr:colOff>
                    <xdr:row>37</xdr:row>
                    <xdr:rowOff>161925</xdr:rowOff>
                  </from>
                  <to>
                    <xdr:col>10</xdr:col>
                    <xdr:colOff>266700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Option Button 26">
              <controlPr defaultSize="0" autoFill="0" autoLine="0" autoPict="0">
                <anchor moveWithCells="1">
                  <from>
                    <xdr:col>10</xdr:col>
                    <xdr:colOff>219075</xdr:colOff>
                    <xdr:row>41</xdr:row>
                    <xdr:rowOff>161925</xdr:rowOff>
                  </from>
                  <to>
                    <xdr:col>11</xdr:col>
                    <xdr:colOff>123825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Option Button 45">
              <controlPr defaultSize="0" autoFill="0" autoLine="0" autoPict="0">
                <anchor moveWithCells="1">
                  <from>
                    <xdr:col>1</xdr:col>
                    <xdr:colOff>85725</xdr:colOff>
                    <xdr:row>1</xdr:row>
                    <xdr:rowOff>104775</xdr:rowOff>
                  </from>
                  <to>
                    <xdr:col>2</xdr:col>
                    <xdr:colOff>409575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Option Button 46">
              <controlPr defaultSize="0" autoFill="0" autoLine="0" autoPict="0">
                <anchor moveWithCells="1">
                  <from>
                    <xdr:col>1</xdr:col>
                    <xdr:colOff>85725</xdr:colOff>
                    <xdr:row>3</xdr:row>
                    <xdr:rowOff>9525</xdr:rowOff>
                  </from>
                  <to>
                    <xdr:col>2</xdr:col>
                    <xdr:colOff>409575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Option Button 47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66675</xdr:rowOff>
                  </from>
                  <to>
                    <xdr:col>2</xdr:col>
                    <xdr:colOff>409575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Group Box 48">
              <controlPr defaultSize="0" autoFill="0" autoPict="0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3</xdr:col>
                    <xdr:colOff>590550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Option Button 49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161925</xdr:rowOff>
                  </from>
                  <to>
                    <xdr:col>2</xdr:col>
                    <xdr:colOff>409575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Option Button 50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85725</xdr:rowOff>
                  </from>
                  <to>
                    <xdr:col>3</xdr:col>
                    <xdr:colOff>123825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5" name="Option Button 13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171450</xdr:rowOff>
                  </from>
                  <to>
                    <xdr:col>7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6" name="Option Button 52">
              <controlPr defaultSize="0" autoFill="0" autoLine="0" autoPict="0">
                <anchor moveWithCells="1">
                  <from>
                    <xdr:col>10</xdr:col>
                    <xdr:colOff>238125</xdr:colOff>
                    <xdr:row>32</xdr:row>
                    <xdr:rowOff>171450</xdr:rowOff>
                  </from>
                  <to>
                    <xdr:col>11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7" name="Group Box 1">
              <controlPr defaultSize="0" autoFill="0" autoPict="0">
                <anchor moveWithCells="1">
                  <from>
                    <xdr:col>3</xdr:col>
                    <xdr:colOff>0</xdr:colOff>
                    <xdr:row>13</xdr:row>
                    <xdr:rowOff>9525</xdr:rowOff>
                  </from>
                  <to>
                    <xdr:col>12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8" name="Group Box 21">
              <controlPr defaultSize="0" autoFill="0" autoPict="0">
                <anchor moveWithCells="1">
                  <from>
                    <xdr:col>2</xdr:col>
                    <xdr:colOff>590550</xdr:colOff>
                    <xdr:row>37</xdr:row>
                    <xdr:rowOff>28575</xdr:rowOff>
                  </from>
                  <to>
                    <xdr:col>12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9" name="Group Box 12">
              <controlPr defaultSize="0" autoFill="0" autoPict="0">
                <anchor moveWithCells="1">
                  <from>
                    <xdr:col>2</xdr:col>
                    <xdr:colOff>600075</xdr:colOff>
                    <xdr:row>29</xdr:row>
                    <xdr:rowOff>19050</xdr:rowOff>
                  </from>
                  <to>
                    <xdr:col>11</xdr:col>
                    <xdr:colOff>590550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Option Button 56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0</xdr:rowOff>
                  </from>
                  <to>
                    <xdr:col>3</xdr:col>
                    <xdr:colOff>123825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C98EC4C0-87B2-476B-976E-5FDE90980E00}">
            <x14:iconSet iconSet="5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1.1000000000000001</xm:f>
              </x14:cfvo>
              <x14:cfvo type="num">
                <xm:f>6</xm:f>
              </x14:cfvo>
              <x14:cfIcon iconSet="NoIcons" iconId="0"/>
              <x14:cfIcon iconSet="NoIcons" iconId="0"/>
              <x14:cfIcon iconSet="3ArrowsGray" iconId="1"/>
              <x14:cfIcon iconSet="NoIcons" iconId="0"/>
              <x14:cfIcon iconSet="NoIcons" iconId="0"/>
            </x14:iconSet>
          </x14:cfRule>
          <xm:sqref>C39</xm:sqref>
        </x14:conditionalFormatting>
        <x14:conditionalFormatting xmlns:xm="http://schemas.microsoft.com/office/excel/2006/main">
          <x14:cfRule type="iconSet" priority="20" id="{6C00C2BD-24A0-4170-824E-1E2CE286679A}">
            <x14:iconSet iconSet="4ArrowsGray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ArrowsGray" iconId="1"/>
              <x14:cfIcon iconSet="NoIcons" iconId="0"/>
              <x14:cfIcon iconSet="3ArrowsGray" iconId="2"/>
            </x14:iconSet>
          </x14:cfRule>
          <xm:sqref>C37</xm:sqref>
        </x14:conditionalFormatting>
        <x14:conditionalFormatting xmlns:xm="http://schemas.microsoft.com/office/excel/2006/main">
          <x14:cfRule type="iconSet" priority="17" id="{9954393F-2443-4497-A56A-BBEDEE2D49C4}">
            <x14:iconSet iconSet="5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1.1000000000000001</xm:f>
              </x14:cfvo>
              <x14:cfvo type="num">
                <xm:f>6</xm:f>
              </x14:cfvo>
              <x14:cfIcon iconSet="NoIcons" iconId="0"/>
              <x14:cfIcon iconSet="NoIcons" iconId="0"/>
              <x14:cfIcon iconSet="3ArrowsGray" iconId="1"/>
              <x14:cfIcon iconSet="NoIcons" iconId="0"/>
              <x14:cfIcon iconSet="NoIcons" iconId="0"/>
            </x14:iconSet>
          </x14:cfRule>
          <xm:sqref>C23</xm:sqref>
        </x14:conditionalFormatting>
        <x14:conditionalFormatting xmlns:xm="http://schemas.microsoft.com/office/excel/2006/main">
          <x14:cfRule type="iconSet" priority="16" id="{601D19EB-E277-45B7-A43A-98DEB03DB076}">
            <x14:iconSet iconSet="4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1.1000000000000001</xm:f>
              </x14:cfvo>
              <x14:cfIcon iconSet="NoIcons" iconId="0"/>
              <x14:cfIcon iconSet="NoIcons" iconId="0"/>
              <x14:cfIcon iconSet="4ArrowsGray" iconId="2"/>
              <x14:cfIcon iconSet="NoIcons" iconId="0"/>
            </x14:iconSet>
          </x14:cfRule>
          <xm:sqref>N28</xm:sqref>
        </x14:conditionalFormatting>
        <x14:conditionalFormatting xmlns:xm="http://schemas.microsoft.com/office/excel/2006/main">
          <x14:cfRule type="iconSet" priority="15" id="{BFD014C0-245A-48CE-B574-F6BF51186BF7}">
            <x14:iconSet iconSet="5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5</xm:f>
              </x14:cfvo>
              <x14:cfvo type="num">
                <xm:f>10</xm:f>
              </x14:cfvo>
              <x14:cfIcon iconSet="NoIcons" iconId="0"/>
              <x14:cfIcon iconSet="NoIcons" iconId="0"/>
              <x14:cfIcon iconSet="3ArrowsGray" iconId="1"/>
              <x14:cfIcon iconSet="NoIcons" iconId="0"/>
              <x14:cfIcon iconSet="NoIcons" iconId="0"/>
            </x14:iconSet>
          </x14:cfRule>
          <xm:sqref>B15</xm:sqref>
        </x14:conditionalFormatting>
        <x14:conditionalFormatting xmlns:xm="http://schemas.microsoft.com/office/excel/2006/main">
          <x14:cfRule type="iconSet" priority="14" id="{E4AD6794-081E-41AC-A969-7808EE4205EB}">
            <x14:iconSet iconSet="5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5</xm:f>
              </x14:cfvo>
              <x14:cfvo type="num">
                <xm:f>10</xm:f>
              </x14:cfvo>
              <x14:cfIcon iconSet="NoIcons" iconId="0"/>
              <x14:cfIcon iconSet="NoIcons" iconId="0"/>
              <x14:cfIcon iconSet="3ArrowsGray" iconId="1"/>
              <x14:cfIcon iconSet="NoIcons" iconId="0"/>
              <x14:cfIcon iconSet="NoIcons" iconId="0"/>
            </x14:iconSet>
          </x14:cfRule>
          <xm:sqref>B23</xm:sqref>
        </x14:conditionalFormatting>
        <x14:conditionalFormatting xmlns:xm="http://schemas.microsoft.com/office/excel/2006/main">
          <x14:cfRule type="iconSet" priority="13" id="{86F32643-04E0-40E9-B61B-60D80A03C3AA}">
            <x14:iconSet iconSet="4ArrowsGray" custom="1">
              <x14:cfvo type="percent">
                <xm:f>0</xm:f>
              </x14:cfvo>
              <x14:cfvo type="num">
                <xm:f>1</xm:f>
              </x14:cfvo>
              <x14:cfvo type="num">
                <xm:f>3</xm:f>
              </x14:cfvo>
              <x14:cfvo type="num">
                <xm:f>5</xm:f>
              </x14:cfvo>
              <x14:cfIcon iconSet="NoIcons" iconId="0"/>
              <x14:cfIcon iconSet="3ArrowsGray" iconId="0"/>
              <x14:cfIcon iconSet="NoIcons" iconId="0"/>
              <x14:cfIcon iconSet="NoIcons" iconId="0"/>
            </x14:iconSet>
          </x14:cfRule>
          <xm:sqref>B24</xm:sqref>
        </x14:conditionalFormatting>
        <x14:conditionalFormatting xmlns:xm="http://schemas.microsoft.com/office/excel/2006/main">
          <x14:cfRule type="iconSet" priority="12" id="{8C6527F5-3477-482F-AA5F-F600AAE942A4}">
            <x14:iconSet iconSet="5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4</xm:f>
              </x14:cfvo>
              <x14:cfIcon iconSet="NoIcons" iconId="0"/>
              <x14:cfIcon iconSet="NoIcons" iconId="0"/>
              <x14:cfIcon iconSet="3ArrowsGray" iconId="1"/>
              <x14:cfIcon iconSet="NoIcons" iconId="0"/>
              <x14:cfIcon iconSet="NoIcons" iconId="0"/>
            </x14:iconSet>
          </x14:cfRule>
          <xm:sqref>B31</xm:sqref>
        </x14:conditionalFormatting>
        <x14:conditionalFormatting xmlns:xm="http://schemas.microsoft.com/office/excel/2006/main">
          <x14:cfRule type="iconSet" priority="11" id="{EC675B15-2712-4FFC-99FC-9BA6AE35D8A0}">
            <x14:iconSet iconSet="4ArrowsGray" custom="1">
              <x14:cfvo type="percent">
                <xm:f>0</xm:f>
              </x14:cfvo>
              <x14:cfvo type="num">
                <xm:f>1</xm:f>
              </x14:cfvo>
              <x14:cfvo type="num">
                <xm:f>3</xm:f>
              </x14:cfvo>
              <x14:cfvo type="num">
                <xm:f>5</xm:f>
              </x14:cfvo>
              <x14:cfIcon iconSet="NoIcons" iconId="0"/>
              <x14:cfIcon iconSet="3ArrowsGray" iconId="0"/>
              <x14:cfIcon iconSet="NoIcons" iconId="0"/>
              <x14:cfIcon iconSet="NoIcons" iconId="0"/>
            </x14:iconSet>
          </x14:cfRule>
          <xm:sqref>B34</xm:sqref>
        </x14:conditionalFormatting>
        <x14:conditionalFormatting xmlns:xm="http://schemas.microsoft.com/office/excel/2006/main">
          <x14:cfRule type="iconSet" priority="10" id="{3821BE4E-62E4-4494-B002-649015C0EB6E}">
            <x14:iconSet iconSet="5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3</xm:f>
              </x14:cfvo>
              <x14:cfvo type="num">
                <xm:f>4</xm:f>
              </x14:cfvo>
              <x14:cfIcon iconSet="NoIcons" iconId="0"/>
              <x14:cfIcon iconSet="NoIcons" iconId="0"/>
              <x14:cfIcon iconSet="3ArrowsGray" iconId="1"/>
              <x14:cfIcon iconSet="NoIcons" iconId="0"/>
              <x14:cfIcon iconSet="NoIcons" iconId="0"/>
            </x14:iconSet>
          </x14:cfRule>
          <xm:sqref>B39</xm:sqref>
        </x14:conditionalFormatting>
        <x14:conditionalFormatting xmlns:xm="http://schemas.microsoft.com/office/excel/2006/main">
          <x14:cfRule type="iconSet" priority="9" id="{02387DA4-A8DB-4815-ACAB-691C1C8CEBAD}">
            <x14:iconSet iconSet="4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1.1000000000000001</xm:f>
              </x14:cfvo>
              <x14:cfIcon iconSet="NoIcons" iconId="0"/>
              <x14:cfIcon iconSet="NoIcons" iconId="0"/>
              <x14:cfIcon iconSet="4ArrowsGray" iconId="2"/>
              <x14:cfIcon iconSet="NoIcons" iconId="0"/>
            </x14:iconSet>
          </x14:cfRule>
          <xm:sqref>N35</xm:sqref>
        </x14:conditionalFormatting>
        <x14:conditionalFormatting xmlns:xm="http://schemas.microsoft.com/office/excel/2006/main">
          <x14:cfRule type="iconSet" priority="7" id="{3209B71C-0FEB-49A4-B14B-3FE14E9BAA57}">
            <x14:iconSet iconSet="4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1.1000000000000001</xm:f>
              </x14:cfvo>
              <x14:cfIcon iconSet="NoIcons" iconId="0"/>
              <x14:cfIcon iconSet="NoIcons" iconId="0"/>
              <x14:cfIcon iconSet="4ArrowsGray" iconId="2"/>
              <x14:cfIcon iconSet="NoIcons" iconId="0"/>
            </x14:iconSet>
          </x14:cfRule>
          <xm:sqref>N42</xm:sqref>
        </x14:conditionalFormatting>
        <x14:conditionalFormatting xmlns:xm="http://schemas.microsoft.com/office/excel/2006/main">
          <x14:cfRule type="iconSet" priority="6" id="{E8DBA491-0EA9-4FE8-B0DF-DD6DF8109626}">
            <x14:iconSet iconSet="5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3</xm:f>
              </x14:cfvo>
              <x14:cfvo type="num">
                <xm:f>6</xm:f>
              </x14:cfvo>
              <x14:cfIcon iconSet="NoIcons" iconId="0"/>
              <x14:cfIcon iconSet="NoIcons" iconId="0"/>
              <x14:cfIcon iconSet="3ArrowsGray" iconId="1"/>
              <x14:cfIcon iconSet="NoIcons" iconId="0"/>
              <x14:cfIcon iconSet="NoIcons" iconId="0"/>
            </x14:iconSet>
          </x14:cfRule>
          <xm:sqref>C22</xm:sqref>
        </x14:conditionalFormatting>
        <x14:conditionalFormatting xmlns:xm="http://schemas.microsoft.com/office/excel/2006/main">
          <x14:cfRule type="iconSet" priority="5" id="{44D025A4-9EBE-473B-BCC6-828EF996F76F}">
            <x14:iconSet iconSet="4ArrowsGray" custom="1">
              <x14:cfvo type="percent">
                <xm:f>0</xm:f>
              </x14:cfvo>
              <x14:cfvo type="num">
                <xm:f>1</xm:f>
              </x14:cfvo>
              <x14:cfvo type="num">
                <xm:f>3</xm:f>
              </x14:cfvo>
              <x14:cfvo type="num">
                <xm:f>4</xm:f>
              </x14:cfvo>
              <x14:cfIcon iconSet="NoIcons" iconId="0"/>
              <x14:cfIcon iconSet="3ArrowsGray" iconId="0"/>
              <x14:cfIcon iconSet="NoIcons" iconId="0"/>
              <x14:cfIcon iconSet="NoIcons" iconId="0"/>
            </x14:iconSet>
          </x14:cfRule>
          <xm:sqref>C35</xm:sqref>
        </x14:conditionalFormatting>
        <x14:conditionalFormatting xmlns:xm="http://schemas.microsoft.com/office/excel/2006/main">
          <x14:cfRule type="iconSet" priority="4" id="{395528EB-E98B-4651-B8E5-6CBDDEEE2170}">
            <x14:iconSet iconSet="4ArrowsGray" custom="1">
              <x14:cfvo type="percent">
                <xm:f>0</xm:f>
              </x14:cfvo>
              <x14:cfvo type="num">
                <xm:f>1</xm:f>
              </x14:cfvo>
              <x14:cfvo type="num">
                <xm:f>3</xm:f>
              </x14:cfvo>
              <x14:cfvo type="num">
                <xm:f>4</xm:f>
              </x14:cfvo>
              <x14:cfIcon iconSet="NoIcons" iconId="0"/>
              <x14:cfIcon iconSet="3ArrowsGray" iconId="0"/>
              <x14:cfIcon iconSet="NoIcons" iconId="0"/>
              <x14:cfIcon iconSet="NoIcons" iconId="0"/>
            </x14:iconSet>
          </x14:cfRule>
          <xm:sqref>C29</xm:sqref>
        </x14:conditionalFormatting>
        <x14:conditionalFormatting xmlns:xm="http://schemas.microsoft.com/office/excel/2006/main">
          <x14:cfRule type="iconSet" priority="2" id="{D7751113-9333-4691-B191-F3126CB3C98D}">
            <x14:iconSet iconSet="5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3</xm:f>
              </x14:cfvo>
              <x14:cfvo type="num">
                <xm:f>6</xm:f>
              </x14:cfvo>
              <x14:cfIcon iconSet="NoIcons" iconId="0"/>
              <x14:cfIcon iconSet="NoIcons" iconId="0"/>
              <x14:cfIcon iconSet="3ArrowsGray" iconId="1"/>
              <x14:cfIcon iconSet="NoIcons" iconId="0"/>
              <x14:cfIcon iconSet="NoIcons" iconId="0"/>
            </x14:iconSet>
          </x14:cfRule>
          <xm:sqref>C40</xm:sqref>
        </x14:conditionalFormatting>
        <x14:conditionalFormatting xmlns:xm="http://schemas.microsoft.com/office/excel/2006/main">
          <x14:cfRule type="iconSet" priority="1" id="{09C3D8D6-893E-411D-8123-AB7A2AF6F953}">
            <x14:iconSet iconSet="4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1.1000000000000001</xm:f>
              </x14:cfvo>
              <x14:cfIcon iconSet="NoIcons" iconId="0"/>
              <x14:cfIcon iconSet="NoIcons" iconId="0"/>
              <x14:cfIcon iconSet="4ArrowsGray" iconId="2"/>
              <x14:cfIcon iconSet="NoIcons" iconId="0"/>
            </x14:iconSet>
          </x14:cfRule>
          <xm:sqref>N21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beppe</dc:creator>
  <cp:lastModifiedBy>Oleksandr Badanin</cp:lastModifiedBy>
  <dcterms:created xsi:type="dcterms:W3CDTF">2021-12-18T06:54:45Z</dcterms:created>
  <dcterms:modified xsi:type="dcterms:W3CDTF">2022-02-08T10:50:13Z</dcterms:modified>
</cp:coreProperties>
</file>